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0"/>
  </bookViews>
  <sheets>
    <sheet name="UNICE" sheetId="1" r:id="rId1"/>
    <sheet name="PENS" sheetId="2" r:id="rId2"/>
    <sheet name="DIABET" sheetId="3" r:id="rId3"/>
    <sheet name="INS" sheetId="4" r:id="rId4"/>
    <sheet name="MIXT" sheetId="5" r:id="rId5"/>
    <sheet name="TESTE" sheetId="6" r:id="rId6"/>
    <sheet name="COST VOLUM ONCO" sheetId="7" r:id="rId7"/>
    <sheet name="ONCO" sheetId="8" r:id="rId8"/>
    <sheet name="POSTT" sheetId="9" r:id="rId9"/>
    <sheet name="SCLEROZ" sheetId="10" r:id="rId10"/>
    <sheet name="CV UNICE" sheetId="11" r:id="rId11"/>
    <sheet name="MUCOV" sheetId="12" r:id="rId12"/>
  </sheets>
  <definedNames>
    <definedName name="_xlnm.Print_Area" localSheetId="6">'COST VOLUM ONCO'!$A$1:$I$40</definedName>
    <definedName name="_xlnm.Print_Area" localSheetId="10">'CV UNICE'!$A$1:$I$40</definedName>
  </definedNames>
  <calcPr fullCalcOnLoad="1"/>
</workbook>
</file>

<file path=xl/sharedStrings.xml><?xml version="1.0" encoding="utf-8"?>
<sst xmlns="http://schemas.openxmlformats.org/spreadsheetml/2006/main" count="491" uniqueCount="84">
  <si>
    <t>Nr.crt.</t>
  </si>
  <si>
    <t>Denumirea unitatii</t>
  </si>
  <si>
    <t>Lista A</t>
  </si>
  <si>
    <t>Lista B</t>
  </si>
  <si>
    <t>Lista C1</t>
  </si>
  <si>
    <t>Lista C3</t>
  </si>
  <si>
    <t>ADONIS</t>
  </si>
  <si>
    <t xml:space="preserve">RICHTER GEDEON </t>
  </si>
  <si>
    <t>FARMA-LINE</t>
  </si>
  <si>
    <t>KOL-KING</t>
  </si>
  <si>
    <t>MEDICOM</t>
  </si>
  <si>
    <t>SALVIA</t>
  </si>
  <si>
    <t>TRANSFARM</t>
  </si>
  <si>
    <t>AMBROSIA</t>
  </si>
  <si>
    <t>SIEPCOFAR-DONA</t>
  </si>
  <si>
    <t>SALVATOR</t>
  </si>
  <si>
    <t>MARIA</t>
  </si>
  <si>
    <t>HERMANN</t>
  </si>
  <si>
    <t>FARMIRA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</si>
  <si>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</si>
  <si>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</si>
  <si>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</si>
  <si>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</si>
  <si>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</si>
  <si>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</si>
  <si>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</si>
  <si>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HELP NET</t>
  </si>
  <si>
    <t>SZENT ANNA</t>
  </si>
  <si>
    <t>MOHOS</t>
  </si>
  <si>
    <t>CATENA</t>
  </si>
  <si>
    <t>SQUARE</t>
  </si>
  <si>
    <t>TOTAL GENERAL</t>
  </si>
  <si>
    <t>Consum MED.50%CNAS</t>
  </si>
  <si>
    <t>Consum MED.40%M.S.</t>
  </si>
  <si>
    <t xml:space="preserve">Consum PENSIONARI  </t>
  </si>
  <si>
    <t>Consum DIABET</t>
  </si>
  <si>
    <t>MIXT</t>
  </si>
  <si>
    <t>Diabet</t>
  </si>
  <si>
    <t xml:space="preserve">Insuline </t>
  </si>
  <si>
    <t>Consum mixt</t>
  </si>
  <si>
    <t>MISS B.PHARMA</t>
  </si>
  <si>
    <t>LOTUS PHARMA</t>
  </si>
  <si>
    <t>ECOFARMACIA NETWORK</t>
  </si>
  <si>
    <t>Total consum unice</t>
  </si>
  <si>
    <t>KINCSOPHARM</t>
  </si>
  <si>
    <t>KAMILLA PLUS</t>
  </si>
  <si>
    <t>Lista D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</si>
  <si>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</si>
  <si>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</si>
  <si>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</si>
  <si>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</si>
  <si>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</si>
  <si>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</si>
  <si>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</si>
  <si>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</si>
  <si>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</si>
  <si>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</si>
  <si>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</si>
  <si>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</si>
  <si>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>KOVAPROD</t>
  </si>
  <si>
    <t>BRETCU</t>
  </si>
  <si>
    <t>LENA FARMACEUTICA</t>
  </si>
  <si>
    <t>IANUARIE</t>
  </si>
  <si>
    <t>TEST ADULT</t>
  </si>
  <si>
    <t>TEST COPII</t>
  </si>
  <si>
    <t>Consum INSULINA</t>
  </si>
  <si>
    <t>CONSUM ONCO COST VOLUM</t>
  </si>
  <si>
    <t>MUCOVISCIDOZA ADULT</t>
  </si>
  <si>
    <t>MUCOVISCIDOZA COPII</t>
  </si>
  <si>
    <t>ONCOLOGIE</t>
  </si>
  <si>
    <t>UNICE COST VOLUM</t>
  </si>
  <si>
    <t xml:space="preserve">CONSUM </t>
  </si>
  <si>
    <t>SITUATIA CONSUMULUI DE MEDICAMENTE IN LUNA  MARTIE 2020</t>
  </si>
  <si>
    <t>SITUATIA CONSUMULUI DE MEDICAMENTE PENTRU PENSIONARI PANA LA 1139 LEI MARTIE 2020</t>
  </si>
  <si>
    <t>SITUATIA CONSUMULUI DE MEDICAMENTE PENTRU DIABET   LUNA MARTIE 2020</t>
  </si>
  <si>
    <t>SITUATIA CONSUMULUI DE MEDICAMENTE PENTRU INSULINE LUNA MARTIE 2020</t>
  </si>
  <si>
    <t>SITUATIA CONSUMULUI DE MEDICAMENTE LA  DIABET SI INSULINE MARTIE 2020</t>
  </si>
  <si>
    <t>SITUATIA CONSUMULUI LA TESTE PENTRU LUNA MARTIE 2020</t>
  </si>
  <si>
    <t>SITUATIA CONSUMULUI DE MEDICAMENTE PENTRU PNS COST VOLUM   LUNA MARTIE 2020</t>
  </si>
  <si>
    <t>SITUATIA CONSUMULUI DE MEDICAMENTE PENTRU ONCOLOGIE  LUNA MARTIE 2020</t>
  </si>
  <si>
    <t>SITUATIA CONSUMULUI DE MEDICAMENTE LA STARI POSTTRANSPLANT MARTIE 2020</t>
  </si>
  <si>
    <t>SITUATIA CONSUMULUI DE MEDICAMENTE PENTRU SCLEROZA   LUNA MARTIE 2020</t>
  </si>
  <si>
    <t>SITUATIA CONSUMULUI DE MEDIC. PENTRU UNICE COST VOLUM   LUNA MARTIE 2020</t>
  </si>
  <si>
    <t>SITUATIA CONSUMULUI DE MEDICAMENTE LA STARI MUCOVISCIDOZA MARTIE 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</si>
</sst>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7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2" borderId="0" xfId="0" applyFont="1" applyFill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1" fillId="0" borderId="0" xfId="0" applyFont="1" applyAlignment="1">
      <alignment/>
    </xf>
    <xf numFmtId="4" fontId="12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shrinkToFit="1"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13" fillId="0" borderId="1" xfId="0" applyNumberFormat="1" applyFont="1" applyBorder="1" applyAlignment="1">
      <alignment/>
    </xf>
    <xf numFmtId="4" fontId="13" fillId="2" borderId="1" xfId="0" applyNumberFormat="1" applyFont="1" applyFill="1" applyBorder="1" applyAlignment="1">
      <alignment/>
    </xf>
    <xf numFmtId="4" fontId="14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Border="1" applyAlignment="1">
      <alignment/>
    </xf>
    <xf numFmtId="4" fontId="5" fillId="0" borderId="0" xfId="0" applyNumberFormat="1" applyFont="1" applyAlignment="1">
      <alignment/>
    </xf>
    <xf numFmtId="4" fontId="12" fillId="0" borderId="7" xfId="0" applyNumberFormat="1" applyFont="1" applyFill="1" applyBorder="1" applyAlignment="1">
      <alignment/>
    </xf>
    <xf numFmtId="4" fontId="12" fillId="0" borderId="8" xfId="0" applyNumberFormat="1" applyFont="1" applyFill="1" applyBorder="1" applyAlignment="1">
      <alignment/>
    </xf>
    <xf numFmtId="0" fontId="0" fillId="3" borderId="0" xfId="0" applyFill="1" applyBorder="1" applyAlignment="1">
      <alignment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D270"/>
  <sheetViews>
    <sheetView tabSelected="1" workbookViewId="0" topLeftCell="G1">
      <selection activeCell="T1" sqref="T1:V16384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19.00390625" style="0" customWidth="1"/>
    <col min="5" max="5" width="18.7109375" style="0" customWidth="1"/>
    <col min="6" max="6" width="17.8515625" style="0" bestFit="1" customWidth="1"/>
    <col min="7" max="7" width="16.28125" style="0" customWidth="1"/>
    <col min="8" max="8" width="15.28125" style="17" bestFit="1" customWidth="1"/>
    <col min="9" max="9" width="12.140625" style="0" customWidth="1"/>
    <col min="10" max="10" width="14.140625" style="0" bestFit="1" customWidth="1"/>
    <col min="11" max="11" width="14.28125" style="0" bestFit="1" customWidth="1"/>
    <col min="12" max="12" width="15.57421875" style="0" bestFit="1" customWidth="1"/>
    <col min="13" max="13" width="16.8515625" style="0" customWidth="1"/>
    <col min="14" max="14" width="15.57421875" style="0" customWidth="1"/>
    <col min="15" max="15" width="15.57421875" style="0" bestFit="1" customWidth="1"/>
    <col min="16" max="16" width="17.28125" style="0" bestFit="1" customWidth="1"/>
    <col min="17" max="17" width="16.00390625" style="0" bestFit="1" customWidth="1"/>
    <col min="18" max="18" width="18.421875" style="0" bestFit="1" customWidth="1"/>
    <col min="19" max="19" width="18.421875" style="12" bestFit="1" customWidth="1"/>
    <col min="20" max="20" width="9.140625" style="4" customWidth="1"/>
    <col min="21" max="21" width="11.7109375" style="4" bestFit="1" customWidth="1"/>
    <col min="22" max="56" width="9.140625" style="4" customWidth="1"/>
  </cols>
  <sheetData>
    <row r="3" spans="2:19" ht="15.75">
      <c r="B3" s="19" t="s">
        <v>72</v>
      </c>
      <c r="C3" s="20"/>
      <c r="D3" s="20"/>
      <c r="E3" s="20"/>
      <c r="F3" s="21"/>
      <c r="G3" s="21"/>
      <c r="H3" s="22"/>
      <c r="I3" s="20"/>
      <c r="J3" s="20"/>
      <c r="K3" s="20"/>
      <c r="L3" s="20"/>
      <c r="M3" s="20"/>
      <c r="N3" s="20"/>
      <c r="O3" s="20"/>
      <c r="P3" s="20"/>
      <c r="Q3" s="20"/>
      <c r="R3" s="23"/>
      <c r="S3" s="24"/>
    </row>
    <row r="4" spans="1:19" ht="31.5">
      <c r="A4" s="50" t="s">
        <v>0</v>
      </c>
      <c r="B4" s="51" t="s">
        <v>1</v>
      </c>
      <c r="C4" s="52" t="s">
        <v>2</v>
      </c>
      <c r="D4" s="52" t="s">
        <v>3</v>
      </c>
      <c r="E4" s="52" t="s">
        <v>4</v>
      </c>
      <c r="F4" s="52" t="s">
        <v>5</v>
      </c>
      <c r="G4" s="52" t="s">
        <v>46</v>
      </c>
      <c r="H4" s="53" t="s">
        <v>48</v>
      </c>
      <c r="I4" s="52" t="s">
        <v>49</v>
      </c>
      <c r="J4" s="52" t="s">
        <v>53</v>
      </c>
      <c r="K4" s="52" t="s">
        <v>50</v>
      </c>
      <c r="L4" s="52" t="s">
        <v>51</v>
      </c>
      <c r="M4" s="52" t="s">
        <v>56</v>
      </c>
      <c r="N4" s="52" t="s">
        <v>54</v>
      </c>
      <c r="O4" s="52" t="s">
        <v>52</v>
      </c>
      <c r="P4" s="52" t="s">
        <v>55</v>
      </c>
      <c r="Q4" s="52" t="s">
        <v>58</v>
      </c>
      <c r="R4" s="54" t="s">
        <v>43</v>
      </c>
      <c r="S4" s="53" t="s">
        <v>57</v>
      </c>
    </row>
    <row r="5" spans="1:21" ht="15.75">
      <c r="A5" s="55">
        <v>1</v>
      </c>
      <c r="B5" s="56" t="s">
        <v>6</v>
      </c>
      <c r="C5" s="25">
        <f>38426.49+9573.75+4927.62+643.66</f>
        <v>53571.520000000004</v>
      </c>
      <c r="D5" s="25">
        <f>50096.08+6693.15+5027.24+628.89</f>
        <v>62445.36</v>
      </c>
      <c r="E5" s="25">
        <f>64641.5+2019.11+5079.29+352.34</f>
        <v>72092.23999999999</v>
      </c>
      <c r="F5" s="25">
        <f>2986.84+453.59+193.04</f>
        <v>3633.4700000000003</v>
      </c>
      <c r="G5" s="25">
        <f>4937.5+625.76+281.04+54.25</f>
        <v>5898.55</v>
      </c>
      <c r="H5" s="26">
        <v>495.14</v>
      </c>
      <c r="I5" s="25"/>
      <c r="J5" s="25"/>
      <c r="K5" s="25">
        <v>6697.44</v>
      </c>
      <c r="L5" s="25">
        <v>27632.08</v>
      </c>
      <c r="M5" s="25"/>
      <c r="N5" s="25">
        <v>5978.85</v>
      </c>
      <c r="O5" s="25"/>
      <c r="P5" s="25">
        <v>10103.69</v>
      </c>
      <c r="Q5" s="57">
        <f>H5+I5+J5+K5+L5+M5+N5+O5+P5</f>
        <v>50907.200000000004</v>
      </c>
      <c r="R5" s="58">
        <f aca="true" t="shared" si="0" ref="R5:R39">C5+D5+E5+F5+G5+H5+I5+J5+K5+L5+M5+N5+O5+P5</f>
        <v>248548.34</v>
      </c>
      <c r="S5" s="59">
        <f>R5-Q5</f>
        <v>197641.13999999998</v>
      </c>
      <c r="U5" s="62"/>
    </row>
    <row r="6" spans="1:21" ht="15.75">
      <c r="A6" s="55">
        <v>2</v>
      </c>
      <c r="B6" s="56" t="s">
        <v>7</v>
      </c>
      <c r="C6" s="25">
        <f>6330.07+7404.03</f>
        <v>13734.099999999999</v>
      </c>
      <c r="D6" s="25">
        <f>9998.98+7910.75</f>
        <v>17909.73</v>
      </c>
      <c r="E6" s="25">
        <f>3295.06+5048.87</f>
        <v>8343.93</v>
      </c>
      <c r="F6" s="25">
        <f>241.27+208.09</f>
        <v>449.36</v>
      </c>
      <c r="G6" s="25">
        <f>1089.64+1256.38</f>
        <v>2346.0200000000004</v>
      </c>
      <c r="H6" s="26">
        <v>5952.32</v>
      </c>
      <c r="I6" s="25"/>
      <c r="J6" s="25"/>
      <c r="K6" s="25"/>
      <c r="L6" s="25">
        <v>2678.98</v>
      </c>
      <c r="M6" s="25"/>
      <c r="N6" s="25">
        <v>3299.87</v>
      </c>
      <c r="O6" s="25"/>
      <c r="P6" s="25"/>
      <c r="Q6" s="57">
        <f aca="true" t="shared" si="1" ref="Q6:Q39">H6+I6+J6+K6+L6+M6+N6+O6+P6</f>
        <v>11931.169999999998</v>
      </c>
      <c r="R6" s="58">
        <f t="shared" si="0"/>
        <v>54714.310000000005</v>
      </c>
      <c r="S6" s="59">
        <f aca="true" t="shared" si="2" ref="S6:S39">R6-Q6</f>
        <v>42783.14000000001</v>
      </c>
      <c r="U6" s="62"/>
    </row>
    <row r="7" spans="1:21" ht="15.75">
      <c r="A7" s="55">
        <v>3</v>
      </c>
      <c r="B7" s="56" t="s">
        <v>8</v>
      </c>
      <c r="C7" s="25">
        <f>6626.77+7457.38+5351.65+9797.98+4708.2</f>
        <v>33941.98</v>
      </c>
      <c r="D7" s="25">
        <f>8955.58+5595.68+7318.01+9058.49+3196.41</f>
        <v>34124.17</v>
      </c>
      <c r="E7" s="25">
        <f>4829.1+3091.88+2989.25+4259.68+260.75</f>
        <v>15430.66</v>
      </c>
      <c r="F7" s="25">
        <f>1355.04+1361.45+916.04+2098.43+3842.37</f>
        <v>9573.329999999998</v>
      </c>
      <c r="G7" s="25">
        <f>1049.35+576.06+415.53+740.27+269.95</f>
        <v>3051.16</v>
      </c>
      <c r="H7" s="26"/>
      <c r="I7" s="25"/>
      <c r="J7" s="25"/>
      <c r="K7" s="25"/>
      <c r="L7" s="25"/>
      <c r="M7" s="25"/>
      <c r="N7" s="25"/>
      <c r="O7" s="25"/>
      <c r="P7" s="25"/>
      <c r="Q7" s="57">
        <f t="shared" si="1"/>
        <v>0</v>
      </c>
      <c r="R7" s="58">
        <f t="shared" si="0"/>
        <v>96121.3</v>
      </c>
      <c r="S7" s="59">
        <f t="shared" si="2"/>
        <v>96121.3</v>
      </c>
      <c r="U7" s="62"/>
    </row>
    <row r="8" spans="1:21" ht="15.75">
      <c r="A8" s="55">
        <v>4</v>
      </c>
      <c r="B8" s="56" t="s">
        <v>9</v>
      </c>
      <c r="C8" s="25">
        <f>6075.12+8481.97+5666.85</f>
        <v>20223.940000000002</v>
      </c>
      <c r="D8" s="25">
        <f>5618.36+7464.66+7052.4</f>
        <v>20135.42</v>
      </c>
      <c r="E8" s="25">
        <f>4210.32+6111.28+2996.13</f>
        <v>13317.73</v>
      </c>
      <c r="F8" s="25">
        <f>1240.63+381.19+399.88</f>
        <v>2021.7000000000003</v>
      </c>
      <c r="G8" s="25">
        <f>1518.91+950.16+709.12</f>
        <v>3178.19</v>
      </c>
      <c r="H8" s="26"/>
      <c r="I8" s="25"/>
      <c r="J8" s="25"/>
      <c r="K8" s="25"/>
      <c r="L8" s="25"/>
      <c r="M8" s="25"/>
      <c r="N8" s="25"/>
      <c r="O8" s="25"/>
      <c r="P8" s="25"/>
      <c r="Q8" s="57">
        <f t="shared" si="1"/>
        <v>0</v>
      </c>
      <c r="R8" s="58">
        <f t="shared" si="0"/>
        <v>58876.979999999996</v>
      </c>
      <c r="S8" s="59">
        <f t="shared" si="2"/>
        <v>58876.979999999996</v>
      </c>
      <c r="U8" s="62"/>
    </row>
    <row r="9" spans="1:21" ht="15.75">
      <c r="A9" s="55">
        <v>5</v>
      </c>
      <c r="B9" s="56" t="s">
        <v>10</v>
      </c>
      <c r="C9" s="25">
        <v>26077.95</v>
      </c>
      <c r="D9" s="25">
        <v>36013.93</v>
      </c>
      <c r="E9" s="25">
        <v>36195.3</v>
      </c>
      <c r="F9" s="26">
        <v>1291.72</v>
      </c>
      <c r="G9" s="25">
        <v>3795.51</v>
      </c>
      <c r="H9" s="26">
        <v>247.57</v>
      </c>
      <c r="J9" s="25"/>
      <c r="K9" s="25"/>
      <c r="L9" s="25">
        <v>2678.98</v>
      </c>
      <c r="M9" s="25"/>
      <c r="N9" s="25"/>
      <c r="O9" s="25"/>
      <c r="P9" s="25"/>
      <c r="Q9" s="57">
        <f t="shared" si="1"/>
        <v>2926.55</v>
      </c>
      <c r="R9" s="58">
        <f t="shared" si="0"/>
        <v>106300.96</v>
      </c>
      <c r="S9" s="59">
        <f t="shared" si="2"/>
        <v>103374.41</v>
      </c>
      <c r="U9" s="62"/>
    </row>
    <row r="10" spans="1:23" ht="15.75">
      <c r="A10" s="55">
        <v>6</v>
      </c>
      <c r="B10" s="56" t="s">
        <v>11</v>
      </c>
      <c r="C10" s="25">
        <f>22225.21+18724.86+4833.82+9579.93+19169.95</f>
        <v>74533.77</v>
      </c>
      <c r="D10" s="25">
        <f>26170.37+19585.32+5688.26+6516.99+26063.75</f>
        <v>84024.69</v>
      </c>
      <c r="E10" s="25">
        <f>33559.1+15499.13+6893.52+3128.11+81572.7</f>
        <v>140652.56</v>
      </c>
      <c r="F10" s="25">
        <f>1204.6+2842.61+330.76+1353.02+2444.73</f>
        <v>8175.719999999999</v>
      </c>
      <c r="G10" s="25">
        <f>3023.13+2326.58+458.42+793.24+2386.08</f>
        <v>8987.45</v>
      </c>
      <c r="H10" s="26">
        <f>1189.13</f>
        <v>1189.13</v>
      </c>
      <c r="I10" s="25">
        <v>241.72</v>
      </c>
      <c r="J10" s="25"/>
      <c r="K10" s="25">
        <v>3868.52</v>
      </c>
      <c r="L10" s="25">
        <f>3260.32+13190.82+2678.98</f>
        <v>19130.12</v>
      </c>
      <c r="M10" s="25">
        <v>1339.49</v>
      </c>
      <c r="N10" s="25">
        <f>6538.43+2678.98</f>
        <v>9217.41</v>
      </c>
      <c r="O10" s="25"/>
      <c r="P10" s="25"/>
      <c r="Q10" s="57">
        <f t="shared" si="1"/>
        <v>34986.39</v>
      </c>
      <c r="R10" s="58">
        <f t="shared" si="0"/>
        <v>351360.57999999996</v>
      </c>
      <c r="S10" s="59">
        <f t="shared" si="2"/>
        <v>316374.18999999994</v>
      </c>
      <c r="U10" s="62"/>
      <c r="W10" s="66"/>
    </row>
    <row r="11" spans="1:21" ht="15.75">
      <c r="A11" s="55">
        <v>7</v>
      </c>
      <c r="B11" s="56" t="s">
        <v>59</v>
      </c>
      <c r="C11" s="25">
        <f>15664.92+15609.94+7006.13+7963.79+10826.65+1998.47+5909.01</f>
        <v>64978.91</v>
      </c>
      <c r="D11" s="25">
        <f>26230.18+18759.85+7495.95+9483.68+12910.59+1916.3+6863.47</f>
        <v>83660.02</v>
      </c>
      <c r="E11" s="25">
        <f>12208.17+10886.57+1216.77+5855.02+11901.68+690.25+6012.73</f>
        <v>48771.19</v>
      </c>
      <c r="F11" s="25">
        <f>760.36+950.69+471.82+356.38+698.9+7.81+956.75</f>
        <v>4202.710000000001</v>
      </c>
      <c r="G11" s="25">
        <f>2832.76+1624.07+1091.94+1487.45+1085.84+194+569.81</f>
        <v>8885.87</v>
      </c>
      <c r="H11" s="26">
        <f>247.57+742.71</f>
        <v>990.28</v>
      </c>
      <c r="I11" s="25"/>
      <c r="J11" s="25"/>
      <c r="K11" s="25"/>
      <c r="L11" s="25"/>
      <c r="M11" s="25"/>
      <c r="N11" s="25">
        <v>2678.98</v>
      </c>
      <c r="O11" s="25"/>
      <c r="P11" s="25"/>
      <c r="Q11" s="57">
        <f t="shared" si="1"/>
        <v>3669.26</v>
      </c>
      <c r="R11" s="58">
        <f t="shared" si="0"/>
        <v>214167.96</v>
      </c>
      <c r="S11" s="59">
        <f t="shared" si="2"/>
        <v>210498.69999999998</v>
      </c>
      <c r="U11" s="62"/>
    </row>
    <row r="12" spans="1:21" ht="15.75">
      <c r="A12" s="55">
        <v>8</v>
      </c>
      <c r="B12" s="56" t="s">
        <v>12</v>
      </c>
      <c r="C12" s="25">
        <v>12838.99</v>
      </c>
      <c r="D12" s="25">
        <v>37564.07</v>
      </c>
      <c r="E12" s="25">
        <v>44103.05</v>
      </c>
      <c r="F12" s="25">
        <v>723.03</v>
      </c>
      <c r="G12" s="25">
        <v>1184.56</v>
      </c>
      <c r="H12" s="26">
        <v>2872.91</v>
      </c>
      <c r="I12" s="25">
        <v>495</v>
      </c>
      <c r="J12" s="25">
        <v>3667.2</v>
      </c>
      <c r="K12" s="25"/>
      <c r="L12" s="25">
        <v>16808.63</v>
      </c>
      <c r="M12" s="25"/>
      <c r="N12" s="25">
        <v>18517.89</v>
      </c>
      <c r="O12" s="25"/>
      <c r="P12" s="25"/>
      <c r="Q12" s="57">
        <f t="shared" si="1"/>
        <v>42361.630000000005</v>
      </c>
      <c r="R12" s="58">
        <f t="shared" si="0"/>
        <v>138775.33000000002</v>
      </c>
      <c r="S12" s="59">
        <f t="shared" si="2"/>
        <v>96413.70000000001</v>
      </c>
      <c r="U12" s="62"/>
    </row>
    <row r="13" spans="1:21" ht="15.75">
      <c r="A13" s="55">
        <v>9</v>
      </c>
      <c r="B13" s="56" t="s">
        <v>13</v>
      </c>
      <c r="C13" s="25">
        <f>11495.75+1558.34+10094.1</f>
        <v>23148.190000000002</v>
      </c>
      <c r="D13" s="27">
        <f>17195.93+1631.3+15876.17</f>
        <v>34703.4</v>
      </c>
      <c r="E13" s="25">
        <f>16777.03+669.95+8854.73</f>
        <v>26301.71</v>
      </c>
      <c r="F13" s="25">
        <f>518.1+88+1031.23</f>
        <v>1637.33</v>
      </c>
      <c r="G13" s="25">
        <f>1689.65+123.62+1298.92</f>
        <v>3112.19</v>
      </c>
      <c r="H13" s="26">
        <v>247.57</v>
      </c>
      <c r="I13" s="25"/>
      <c r="J13" s="25"/>
      <c r="K13" s="25"/>
      <c r="L13" s="25"/>
      <c r="M13" s="25"/>
      <c r="N13" s="25"/>
      <c r="O13" s="25"/>
      <c r="P13" s="25"/>
      <c r="Q13" s="57">
        <f t="shared" si="1"/>
        <v>247.57</v>
      </c>
      <c r="R13" s="58">
        <f t="shared" si="0"/>
        <v>89150.39000000001</v>
      </c>
      <c r="S13" s="59">
        <f t="shared" si="2"/>
        <v>88902.82</v>
      </c>
      <c r="U13" s="62"/>
    </row>
    <row r="14" spans="1:21" ht="15.75">
      <c r="A14" s="55">
        <v>10</v>
      </c>
      <c r="B14" s="56" t="s">
        <v>14</v>
      </c>
      <c r="C14" s="25">
        <f>19821.53+14922.84+22154.18</f>
        <v>56898.549999999996</v>
      </c>
      <c r="D14" s="25">
        <f>26239.62+16980.39+31894.56</f>
        <v>75114.56999999999</v>
      </c>
      <c r="E14" s="25">
        <f>8121.76+8468.4+15264.6</f>
        <v>31854.760000000002</v>
      </c>
      <c r="F14" s="25">
        <f>1359.31+980.88+1911.99</f>
        <v>4252.18</v>
      </c>
      <c r="G14" s="25">
        <f>3113.82+2112.23+2440.14</f>
        <v>7666.1900000000005</v>
      </c>
      <c r="H14" s="26">
        <f>247.57+247.57</f>
        <v>495.14</v>
      </c>
      <c r="I14" s="25"/>
      <c r="J14" s="25"/>
      <c r="K14" s="25">
        <v>2678.98</v>
      </c>
      <c r="L14" s="25">
        <f>6599.74+9278.72</f>
        <v>15878.46</v>
      </c>
      <c r="M14" s="25">
        <v>2678.98</v>
      </c>
      <c r="N14" s="25">
        <f>5357.96+19994.64</f>
        <v>25352.6</v>
      </c>
      <c r="O14" s="25"/>
      <c r="P14" s="25"/>
      <c r="Q14" s="57">
        <f t="shared" si="1"/>
        <v>47084.159999999996</v>
      </c>
      <c r="R14" s="58">
        <f t="shared" si="0"/>
        <v>222870.41000000003</v>
      </c>
      <c r="S14" s="59">
        <f t="shared" si="2"/>
        <v>175786.25000000003</v>
      </c>
      <c r="U14" s="62"/>
    </row>
    <row r="15" spans="1:21" ht="15.75">
      <c r="A15" s="55">
        <v>11</v>
      </c>
      <c r="B15" s="56" t="s">
        <v>15</v>
      </c>
      <c r="C15" s="25">
        <v>30470.69</v>
      </c>
      <c r="D15" s="25">
        <v>40556.65</v>
      </c>
      <c r="E15" s="25">
        <v>23402.49</v>
      </c>
      <c r="F15" s="25">
        <v>2338.38</v>
      </c>
      <c r="G15" s="25">
        <v>4079.02</v>
      </c>
      <c r="H15" s="26"/>
      <c r="I15" s="25"/>
      <c r="J15" s="25"/>
      <c r="K15" s="25"/>
      <c r="L15" s="25"/>
      <c r="M15" s="25"/>
      <c r="N15" s="25"/>
      <c r="O15" s="25"/>
      <c r="P15" s="25"/>
      <c r="Q15" s="57">
        <f t="shared" si="1"/>
        <v>0</v>
      </c>
      <c r="R15" s="58">
        <f t="shared" si="0"/>
        <v>100847.23000000001</v>
      </c>
      <c r="S15" s="59">
        <f t="shared" si="2"/>
        <v>100847.23000000001</v>
      </c>
      <c r="U15" s="62"/>
    </row>
    <row r="16" spans="1:22" ht="15.75">
      <c r="A16" s="55">
        <v>12</v>
      </c>
      <c r="B16" s="56" t="s">
        <v>16</v>
      </c>
      <c r="C16" s="25">
        <v>21391.06</v>
      </c>
      <c r="D16" s="25">
        <v>15405.35</v>
      </c>
      <c r="E16" s="25">
        <v>5622.77</v>
      </c>
      <c r="F16" s="25">
        <v>1444.6</v>
      </c>
      <c r="G16" s="25">
        <v>1515.47</v>
      </c>
      <c r="H16" s="26"/>
      <c r="I16" s="25"/>
      <c r="J16" s="25"/>
      <c r="K16" s="25"/>
      <c r="L16" s="25"/>
      <c r="M16" s="25"/>
      <c r="N16" s="25"/>
      <c r="O16" s="25"/>
      <c r="P16" s="25"/>
      <c r="Q16" s="57">
        <f t="shared" si="1"/>
        <v>0</v>
      </c>
      <c r="R16" s="58">
        <f t="shared" si="0"/>
        <v>45379.25000000001</v>
      </c>
      <c r="S16" s="59">
        <f t="shared" si="2"/>
        <v>45379.25000000001</v>
      </c>
      <c r="T16" s="11"/>
      <c r="U16" s="62"/>
      <c r="V16" s="11"/>
    </row>
    <row r="17" spans="1:21" ht="15.75">
      <c r="A17" s="55">
        <v>13</v>
      </c>
      <c r="B17" s="56" t="s">
        <v>17</v>
      </c>
      <c r="C17" s="25">
        <f>45141.16+14406.8</f>
        <v>59547.96000000001</v>
      </c>
      <c r="D17" s="25">
        <f>33750.2+12472.49</f>
        <v>46222.689999999995</v>
      </c>
      <c r="E17" s="25">
        <f>21794.81+11944.81</f>
        <v>33739.62</v>
      </c>
      <c r="F17" s="25">
        <f>10141.69+1624.64</f>
        <v>11766.33</v>
      </c>
      <c r="G17" s="25">
        <f>3579.75+569.59</f>
        <v>4149.34</v>
      </c>
      <c r="H17" s="26"/>
      <c r="I17" s="25"/>
      <c r="J17" s="25"/>
      <c r="K17" s="25"/>
      <c r="L17" s="25"/>
      <c r="M17" s="25"/>
      <c r="N17" s="25"/>
      <c r="O17" s="25"/>
      <c r="P17" s="25"/>
      <c r="Q17" s="57">
        <f t="shared" si="1"/>
        <v>0</v>
      </c>
      <c r="R17" s="58">
        <f t="shared" si="0"/>
        <v>155425.93999999997</v>
      </c>
      <c r="S17" s="59">
        <f t="shared" si="2"/>
        <v>155425.93999999997</v>
      </c>
      <c r="U17" s="62"/>
    </row>
    <row r="18" spans="1:21" ht="15.75">
      <c r="A18" s="55">
        <v>14</v>
      </c>
      <c r="B18" s="56" t="s">
        <v>18</v>
      </c>
      <c r="C18" s="25">
        <f>12386.95+4882.32</f>
        <v>17269.27</v>
      </c>
      <c r="D18" s="25">
        <f>14841.26+3967.79</f>
        <v>18809.05</v>
      </c>
      <c r="E18" s="25">
        <f>2952.54+2850.27</f>
        <v>5802.8099999999995</v>
      </c>
      <c r="F18" s="25">
        <f>1663.81+641.89</f>
        <v>2305.7</v>
      </c>
      <c r="G18" s="25">
        <f>2074.02+642.4</f>
        <v>2716.42</v>
      </c>
      <c r="H18" s="28"/>
      <c r="I18" s="25"/>
      <c r="J18" s="25"/>
      <c r="K18" s="25"/>
      <c r="L18" s="25"/>
      <c r="M18" s="25"/>
      <c r="N18" s="25"/>
      <c r="O18" s="25"/>
      <c r="P18" s="25"/>
      <c r="Q18" s="57">
        <f t="shared" si="1"/>
        <v>0</v>
      </c>
      <c r="R18" s="58">
        <f t="shared" si="0"/>
        <v>46903.24999999999</v>
      </c>
      <c r="S18" s="59">
        <f t="shared" si="2"/>
        <v>46903.24999999999</v>
      </c>
      <c r="U18" s="62"/>
    </row>
    <row r="19" spans="1:21" ht="15.75">
      <c r="A19" s="55">
        <v>15</v>
      </c>
      <c r="B19" s="56" t="s">
        <v>19</v>
      </c>
      <c r="C19" s="25">
        <v>0</v>
      </c>
      <c r="D19" s="25">
        <v>0</v>
      </c>
      <c r="E19" s="25">
        <v>0</v>
      </c>
      <c r="F19" s="65">
        <v>0</v>
      </c>
      <c r="G19" s="64">
        <v>0</v>
      </c>
      <c r="H19" s="26"/>
      <c r="I19" s="25"/>
      <c r="J19" s="25"/>
      <c r="K19" s="25"/>
      <c r="L19" s="25"/>
      <c r="M19" s="25"/>
      <c r="N19" s="25"/>
      <c r="O19" s="25"/>
      <c r="P19" s="25"/>
      <c r="Q19" s="57">
        <f t="shared" si="1"/>
        <v>0</v>
      </c>
      <c r="R19" s="58">
        <f t="shared" si="0"/>
        <v>0</v>
      </c>
      <c r="S19" s="59">
        <f t="shared" si="2"/>
        <v>0</v>
      </c>
      <c r="U19" s="62"/>
    </row>
    <row r="20" spans="1:21" ht="15.75">
      <c r="A20" s="55">
        <v>16</v>
      </c>
      <c r="B20" s="56" t="s">
        <v>20</v>
      </c>
      <c r="C20" s="25">
        <f>3616.57+2984.67+2336.98+2928.72</f>
        <v>11866.939999999999</v>
      </c>
      <c r="D20" s="25">
        <f>5718.44+3980.73+1820.11+4761.2</f>
        <v>16280.48</v>
      </c>
      <c r="E20" s="25">
        <f>958.29+452.53+941.58+3209.09</f>
        <v>5561.49</v>
      </c>
      <c r="F20" s="25">
        <f>638.82+434.1+175.58+509.94</f>
        <v>1758.44</v>
      </c>
      <c r="G20" s="25">
        <f>567+156.51+231.93+750.3</f>
        <v>1705.74</v>
      </c>
      <c r="H20" s="26"/>
      <c r="I20" s="25"/>
      <c r="J20" s="25"/>
      <c r="K20" s="25"/>
      <c r="L20" s="25"/>
      <c r="M20" s="25"/>
      <c r="N20" s="25"/>
      <c r="O20" s="25"/>
      <c r="P20" s="25"/>
      <c r="Q20" s="57">
        <f t="shared" si="1"/>
        <v>0</v>
      </c>
      <c r="R20" s="58">
        <f t="shared" si="0"/>
        <v>37173.09</v>
      </c>
      <c r="S20" s="59">
        <f t="shared" si="2"/>
        <v>37173.09</v>
      </c>
      <c r="U20" s="62"/>
    </row>
    <row r="21" spans="1:21" ht="15.75">
      <c r="A21" s="55">
        <v>17</v>
      </c>
      <c r="B21" s="56" t="s">
        <v>21</v>
      </c>
      <c r="C21" s="25">
        <v>19425.8</v>
      </c>
      <c r="D21" s="25">
        <v>18748.23</v>
      </c>
      <c r="E21" s="25">
        <v>9253.46</v>
      </c>
      <c r="F21" s="25">
        <v>1291.48</v>
      </c>
      <c r="G21" s="25">
        <v>3859.65</v>
      </c>
      <c r="H21" s="26">
        <v>1273.25</v>
      </c>
      <c r="I21" s="25"/>
      <c r="J21" s="25"/>
      <c r="K21" s="25"/>
      <c r="L21" s="25"/>
      <c r="M21" s="25"/>
      <c r="N21" s="25">
        <v>3859.45</v>
      </c>
      <c r="O21" s="25"/>
      <c r="P21" s="25"/>
      <c r="Q21" s="57">
        <f t="shared" si="1"/>
        <v>5132.7</v>
      </c>
      <c r="R21" s="58">
        <f t="shared" si="0"/>
        <v>57711.32</v>
      </c>
      <c r="S21" s="59">
        <f t="shared" si="2"/>
        <v>52578.62</v>
      </c>
      <c r="U21" s="62"/>
    </row>
    <row r="22" spans="1:21" ht="15.75">
      <c r="A22" s="55">
        <v>18</v>
      </c>
      <c r="B22" s="56" t="s">
        <v>22</v>
      </c>
      <c r="C22" s="25">
        <f>20937.58+9669.34+19502.36+3327.67+3921.1+2665.34</f>
        <v>60023.39</v>
      </c>
      <c r="D22" s="25">
        <f>30230.16+7703.92+19706.56+4386.97+2389.38+2996.66</f>
        <v>67413.65</v>
      </c>
      <c r="E22" s="25">
        <f>34973.03+6540.49+12641.71+819.75+256.12+333.03</f>
        <v>55564.13</v>
      </c>
      <c r="F22" s="25">
        <f>1749.83+1015.51+1298.68+410.13+3534.3+428.68</f>
        <v>8437.130000000001</v>
      </c>
      <c r="G22" s="25">
        <f>3208.54+659.52+3489.29+337.17+101.62+76.66</f>
        <v>7872.8</v>
      </c>
      <c r="H22" s="26">
        <v>1237.85</v>
      </c>
      <c r="I22" s="25"/>
      <c r="J22" s="25"/>
      <c r="K22" s="25">
        <v>4018.46</v>
      </c>
      <c r="L22" s="25">
        <v>11336.81</v>
      </c>
      <c r="M22" s="25"/>
      <c r="N22" s="25"/>
      <c r="O22" s="25"/>
      <c r="P22" s="25"/>
      <c r="Q22" s="57">
        <f t="shared" si="1"/>
        <v>16593.12</v>
      </c>
      <c r="R22" s="58">
        <f t="shared" si="0"/>
        <v>215904.21999999997</v>
      </c>
      <c r="S22" s="59">
        <f t="shared" si="2"/>
        <v>199311.09999999998</v>
      </c>
      <c r="U22" s="62"/>
    </row>
    <row r="23" spans="1:21" ht="15.75">
      <c r="A23" s="55">
        <v>19</v>
      </c>
      <c r="B23" s="56" t="s">
        <v>23</v>
      </c>
      <c r="C23" s="25">
        <v>6662.41</v>
      </c>
      <c r="D23" s="25">
        <v>5876.16</v>
      </c>
      <c r="E23" s="25">
        <v>5855.59</v>
      </c>
      <c r="F23" s="25">
        <v>441.61</v>
      </c>
      <c r="G23" s="25">
        <v>988.87</v>
      </c>
      <c r="H23" s="26"/>
      <c r="I23" s="25"/>
      <c r="J23" s="25"/>
      <c r="K23" s="25"/>
      <c r="L23" s="25"/>
      <c r="M23" s="25"/>
      <c r="N23" s="25"/>
      <c r="O23" s="25"/>
      <c r="P23" s="25"/>
      <c r="Q23" s="57">
        <f t="shared" si="1"/>
        <v>0</v>
      </c>
      <c r="R23" s="58">
        <f t="shared" si="0"/>
        <v>19824.64</v>
      </c>
      <c r="S23" s="59">
        <f t="shared" si="2"/>
        <v>19824.64</v>
      </c>
      <c r="U23" s="62"/>
    </row>
    <row r="24" spans="1:21" ht="15.75">
      <c r="A24" s="55">
        <v>20</v>
      </c>
      <c r="B24" s="56" t="s">
        <v>24</v>
      </c>
      <c r="C24" s="25">
        <f>7736.78+4351.79</f>
        <v>12088.57</v>
      </c>
      <c r="D24" s="25">
        <f>5236.14+6022.28</f>
        <v>11258.42</v>
      </c>
      <c r="E24" s="25">
        <f>8434.93+3264.08</f>
        <v>11699.01</v>
      </c>
      <c r="F24" s="25">
        <f>878.2+770.25</f>
        <v>1648.45</v>
      </c>
      <c r="G24" s="25">
        <f>719.09+875.27</f>
        <v>1594.3600000000001</v>
      </c>
      <c r="H24" s="26"/>
      <c r="I24" s="25"/>
      <c r="J24" s="25"/>
      <c r="K24" s="25"/>
      <c r="L24" s="25"/>
      <c r="M24" s="25"/>
      <c r="N24" s="25"/>
      <c r="O24" s="25"/>
      <c r="P24" s="25"/>
      <c r="Q24" s="57">
        <f t="shared" si="1"/>
        <v>0</v>
      </c>
      <c r="R24" s="58">
        <f t="shared" si="0"/>
        <v>38288.81</v>
      </c>
      <c r="S24" s="59">
        <f t="shared" si="2"/>
        <v>38288.81</v>
      </c>
      <c r="U24" s="62"/>
    </row>
    <row r="25" spans="1:21" ht="15.75">
      <c r="A25" s="55">
        <v>21</v>
      </c>
      <c r="B25" s="56" t="s">
        <v>25</v>
      </c>
      <c r="C25" s="25">
        <f>10401.51+10734.72+14115.5+8054.12</f>
        <v>43305.85</v>
      </c>
      <c r="D25" s="25">
        <f>12457.12+19188.12+20428.16+12312.99</f>
        <v>64386.38999999999</v>
      </c>
      <c r="E25" s="25">
        <f>10009.22+12901.79+21877.37+2183.64</f>
        <v>46972.020000000004</v>
      </c>
      <c r="F25" s="25">
        <f>846.93+482.33+569.74+821.07</f>
        <v>2720.07</v>
      </c>
      <c r="G25" s="25">
        <f>1476.08+1737.83+2069.3+1061.03</f>
        <v>6344.24</v>
      </c>
      <c r="H25" s="25">
        <f>446.41+990.25</f>
        <v>1436.66</v>
      </c>
      <c r="I25" s="25"/>
      <c r="J25" s="25">
        <v>2785.83</v>
      </c>
      <c r="K25" s="25">
        <v>4018.46</v>
      </c>
      <c r="L25" s="25">
        <f>57175.48+4149.36</f>
        <v>61324.840000000004</v>
      </c>
      <c r="M25" s="25">
        <v>2678.97</v>
      </c>
      <c r="N25" s="25">
        <v>13394.85</v>
      </c>
      <c r="O25" s="25"/>
      <c r="P25" s="25">
        <v>38845.09</v>
      </c>
      <c r="Q25" s="57">
        <f t="shared" si="1"/>
        <v>124484.70000000001</v>
      </c>
      <c r="R25" s="58">
        <f t="shared" si="0"/>
        <v>288213.27</v>
      </c>
      <c r="S25" s="59">
        <f t="shared" si="2"/>
        <v>163728.57</v>
      </c>
      <c r="U25" s="62"/>
    </row>
    <row r="26" spans="1:21" ht="15.75">
      <c r="A26" s="55">
        <v>22</v>
      </c>
      <c r="B26" s="56" t="s">
        <v>26</v>
      </c>
      <c r="C26" s="25">
        <v>2567.68</v>
      </c>
      <c r="D26" s="25">
        <v>5036.07</v>
      </c>
      <c r="E26" s="25">
        <v>762.08</v>
      </c>
      <c r="F26" s="25">
        <v>88.59</v>
      </c>
      <c r="G26" s="25">
        <v>306.28</v>
      </c>
      <c r="H26" s="26"/>
      <c r="I26" s="25"/>
      <c r="J26" s="25"/>
      <c r="K26" s="25"/>
      <c r="L26" s="25"/>
      <c r="M26" s="25"/>
      <c r="N26" s="25">
        <v>3859.45</v>
      </c>
      <c r="O26" s="25"/>
      <c r="P26" s="25"/>
      <c r="Q26" s="57">
        <f t="shared" si="1"/>
        <v>3859.45</v>
      </c>
      <c r="R26" s="58">
        <f t="shared" si="0"/>
        <v>12620.150000000001</v>
      </c>
      <c r="S26" s="59">
        <f t="shared" si="2"/>
        <v>8760.7</v>
      </c>
      <c r="U26" s="62"/>
    </row>
    <row r="27" spans="1:21" ht="15.75">
      <c r="A27" s="55">
        <v>23</v>
      </c>
      <c r="B27" s="56" t="s">
        <v>27</v>
      </c>
      <c r="C27" s="25">
        <f>14056.53+5903.63</f>
        <v>19960.16</v>
      </c>
      <c r="D27" s="25">
        <f>15926.22+4951.53</f>
        <v>20877.75</v>
      </c>
      <c r="E27" s="25">
        <f>4387.47+2817.21</f>
        <v>7204.68</v>
      </c>
      <c r="F27" s="25">
        <f>1505.68+745.42</f>
        <v>2251.1</v>
      </c>
      <c r="G27" s="25">
        <f>2317.43+790.5</f>
        <v>3107.93</v>
      </c>
      <c r="H27" s="26"/>
      <c r="I27" s="25"/>
      <c r="J27" s="25"/>
      <c r="K27" s="25"/>
      <c r="L27" s="25">
        <v>3260.32</v>
      </c>
      <c r="M27" s="25"/>
      <c r="N27" s="25"/>
      <c r="O27" s="25">
        <v>2109.97</v>
      </c>
      <c r="P27" s="25"/>
      <c r="Q27" s="57">
        <f t="shared" si="1"/>
        <v>5370.29</v>
      </c>
      <c r="R27" s="58">
        <f t="shared" si="0"/>
        <v>58771.91</v>
      </c>
      <c r="S27" s="59">
        <f t="shared" si="2"/>
        <v>53401.62</v>
      </c>
      <c r="U27" s="62"/>
    </row>
    <row r="28" spans="1:21" ht="15.75">
      <c r="A28" s="55">
        <v>24</v>
      </c>
      <c r="B28" s="56" t="s">
        <v>28</v>
      </c>
      <c r="C28" s="25">
        <f>5470.38+5392.44</f>
        <v>10862.82</v>
      </c>
      <c r="D28" s="25">
        <f>5572.86+5973.53</f>
        <v>11546.39</v>
      </c>
      <c r="E28" s="25">
        <f>6885.73+2936.66</f>
        <v>9822.39</v>
      </c>
      <c r="F28" s="25">
        <f>1063.15+175.91</f>
        <v>1239.0600000000002</v>
      </c>
      <c r="G28" s="25">
        <f>511+524.99</f>
        <v>1035.99</v>
      </c>
      <c r="H28" s="26"/>
      <c r="I28" s="25"/>
      <c r="J28" s="25"/>
      <c r="K28" s="25"/>
      <c r="L28" s="25"/>
      <c r="M28" s="25"/>
      <c r="N28" s="25"/>
      <c r="O28" s="25"/>
      <c r="P28" s="25"/>
      <c r="Q28" s="57">
        <f t="shared" si="1"/>
        <v>0</v>
      </c>
      <c r="R28" s="58">
        <f t="shared" si="0"/>
        <v>34506.649999999994</v>
      </c>
      <c r="S28" s="59">
        <f t="shared" si="2"/>
        <v>34506.649999999994</v>
      </c>
      <c r="U28" s="62"/>
    </row>
    <row r="29" spans="1:21" ht="15.75">
      <c r="A29" s="55">
        <v>25</v>
      </c>
      <c r="B29" s="56" t="s">
        <v>29</v>
      </c>
      <c r="C29" s="25">
        <f>18832.99+14174.5+18941.24</f>
        <v>51948.73000000001</v>
      </c>
      <c r="D29" s="25">
        <f>29114.57+24400.45+19826.81</f>
        <v>73341.83</v>
      </c>
      <c r="E29" s="25">
        <f>10353.06+6806.56+6561.26</f>
        <v>23720.879999999997</v>
      </c>
      <c r="F29" s="25">
        <f>2512.89+1536.57+331.73</f>
        <v>4381.1900000000005</v>
      </c>
      <c r="G29" s="25">
        <f>1580.58+2093.06+2452.49</f>
        <v>6126.129999999999</v>
      </c>
      <c r="H29" s="26"/>
      <c r="I29" s="25"/>
      <c r="J29" s="25"/>
      <c r="K29" s="25"/>
      <c r="L29" s="25"/>
      <c r="M29" s="25">
        <v>2678.98</v>
      </c>
      <c r="N29" s="25"/>
      <c r="O29" s="25"/>
      <c r="P29" s="25"/>
      <c r="Q29" s="57">
        <f t="shared" si="1"/>
        <v>2678.98</v>
      </c>
      <c r="R29" s="58">
        <f t="shared" si="0"/>
        <v>162197.74000000002</v>
      </c>
      <c r="S29" s="59">
        <f t="shared" si="2"/>
        <v>159518.76</v>
      </c>
      <c r="U29" s="62"/>
    </row>
    <row r="30" spans="1:21" ht="15.75">
      <c r="A30" s="55">
        <v>26</v>
      </c>
      <c r="B30" s="56" t="s">
        <v>30</v>
      </c>
      <c r="C30" s="25">
        <f>33321.63+5216.11</f>
        <v>38537.74</v>
      </c>
      <c r="D30" s="25">
        <f>40676.37+4800.57</f>
        <v>45476.94</v>
      </c>
      <c r="E30" s="25">
        <f>15394.75+871.13</f>
        <v>16265.88</v>
      </c>
      <c r="F30" s="25">
        <f>3847.52+929.31</f>
        <v>4776.83</v>
      </c>
      <c r="G30" s="25">
        <f>5046.62+692.02</f>
        <v>5738.639999999999</v>
      </c>
      <c r="H30" s="26">
        <v>3471.3</v>
      </c>
      <c r="I30" s="25"/>
      <c r="J30" s="25"/>
      <c r="K30" s="25"/>
      <c r="L30" s="25"/>
      <c r="M30" s="25"/>
      <c r="N30" s="25">
        <v>5357.96</v>
      </c>
      <c r="O30" s="25"/>
      <c r="P30" s="25"/>
      <c r="Q30" s="57">
        <f t="shared" si="1"/>
        <v>8829.26</v>
      </c>
      <c r="R30" s="58">
        <f t="shared" si="0"/>
        <v>119625.29000000001</v>
      </c>
      <c r="S30" s="59">
        <f t="shared" si="2"/>
        <v>110796.03000000001</v>
      </c>
      <c r="U30" s="62"/>
    </row>
    <row r="31" spans="1:21" ht="15.75">
      <c r="A31" s="55">
        <v>27</v>
      </c>
      <c r="B31" s="56" t="s">
        <v>40</v>
      </c>
      <c r="C31" s="25">
        <v>4108.03</v>
      </c>
      <c r="D31" s="25">
        <v>4931.29</v>
      </c>
      <c r="E31" s="25">
        <v>2274.43</v>
      </c>
      <c r="F31" s="25">
        <v>191.93</v>
      </c>
      <c r="G31" s="25">
        <v>417.5</v>
      </c>
      <c r="H31" s="26"/>
      <c r="I31" s="25"/>
      <c r="J31" s="25"/>
      <c r="K31" s="25"/>
      <c r="L31" s="25"/>
      <c r="M31" s="25"/>
      <c r="N31" s="25"/>
      <c r="O31" s="25"/>
      <c r="P31" s="25"/>
      <c r="Q31" s="57">
        <f t="shared" si="1"/>
        <v>0</v>
      </c>
      <c r="R31" s="58">
        <f t="shared" si="0"/>
        <v>11923.18</v>
      </c>
      <c r="S31" s="59">
        <f t="shared" si="2"/>
        <v>11923.18</v>
      </c>
      <c r="U31" s="62"/>
    </row>
    <row r="32" spans="1:21" ht="15.75">
      <c r="A32" s="55">
        <v>28</v>
      </c>
      <c r="B32" s="56" t="s">
        <v>41</v>
      </c>
      <c r="C32" s="25">
        <f>15208.64+1727.37+5685.91+4901.9</f>
        <v>27523.82</v>
      </c>
      <c r="D32" s="25">
        <f>17366.06+1867.32+5618.01+6316.51</f>
        <v>31167.9</v>
      </c>
      <c r="E32" s="25">
        <f>11205.36+504.37+4583.42+4492.67</f>
        <v>20785.82</v>
      </c>
      <c r="F32" s="25">
        <f>2882.52+129.61+1217.32+924.05</f>
        <v>5153.5</v>
      </c>
      <c r="G32" s="25">
        <f>1418.52+203.46+808.7+349.61</f>
        <v>2780.2900000000004</v>
      </c>
      <c r="H32" s="26"/>
      <c r="I32" s="25"/>
      <c r="J32" s="25">
        <v>1833.6</v>
      </c>
      <c r="K32" s="25"/>
      <c r="L32" s="25"/>
      <c r="M32" s="25">
        <v>3299.87</v>
      </c>
      <c r="N32" s="25"/>
      <c r="O32" s="25"/>
      <c r="P32" s="25"/>
      <c r="Q32" s="57">
        <f t="shared" si="1"/>
        <v>5133.469999999999</v>
      </c>
      <c r="R32" s="58">
        <f t="shared" si="0"/>
        <v>92544.8</v>
      </c>
      <c r="S32" s="59">
        <f t="shared" si="2"/>
        <v>87411.33</v>
      </c>
      <c r="U32" s="62"/>
    </row>
    <row r="33" spans="1:21" ht="15.75">
      <c r="A33" s="55">
        <v>29</v>
      </c>
      <c r="B33" s="56" t="s">
        <v>42</v>
      </c>
      <c r="C33" s="25">
        <v>17009.64</v>
      </c>
      <c r="D33" s="25">
        <v>22436.62</v>
      </c>
      <c r="E33" s="25">
        <v>6481.85</v>
      </c>
      <c r="F33" s="25">
        <v>1215.56</v>
      </c>
      <c r="G33" s="25">
        <v>2837.9</v>
      </c>
      <c r="H33" s="26"/>
      <c r="I33" s="25"/>
      <c r="J33" s="25"/>
      <c r="K33" s="25"/>
      <c r="L33" s="25"/>
      <c r="M33" s="25"/>
      <c r="N33" s="25"/>
      <c r="O33" s="25"/>
      <c r="P33" s="25"/>
      <c r="Q33" s="57">
        <f t="shared" si="1"/>
        <v>0</v>
      </c>
      <c r="R33" s="58">
        <f t="shared" si="0"/>
        <v>49981.56999999999</v>
      </c>
      <c r="S33" s="59">
        <f t="shared" si="2"/>
        <v>49981.56999999999</v>
      </c>
      <c r="U33" s="62"/>
    </row>
    <row r="34" spans="1:21" ht="15.75">
      <c r="A34" s="55">
        <v>30</v>
      </c>
      <c r="B34" s="56" t="s">
        <v>44</v>
      </c>
      <c r="C34" s="25">
        <v>6110.72</v>
      </c>
      <c r="D34" s="25">
        <v>7236.83</v>
      </c>
      <c r="E34" s="25">
        <v>2891.62</v>
      </c>
      <c r="F34" s="25">
        <v>750.96</v>
      </c>
      <c r="G34" s="25">
        <v>972.92</v>
      </c>
      <c r="H34" s="26"/>
      <c r="I34" s="25"/>
      <c r="J34" s="25"/>
      <c r="K34" s="25"/>
      <c r="L34" s="25"/>
      <c r="M34" s="25"/>
      <c r="N34" s="25"/>
      <c r="O34" s="25"/>
      <c r="P34" s="25"/>
      <c r="Q34" s="57">
        <f t="shared" si="1"/>
        <v>0</v>
      </c>
      <c r="R34" s="58">
        <f t="shared" si="0"/>
        <v>17963.049999999996</v>
      </c>
      <c r="S34" s="59">
        <f t="shared" si="2"/>
        <v>17963.049999999996</v>
      </c>
      <c r="U34" s="62"/>
    </row>
    <row r="35" spans="1:21" ht="15.75">
      <c r="A35" s="55">
        <v>31</v>
      </c>
      <c r="B35" s="56" t="s">
        <v>45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6"/>
      <c r="I35" s="25"/>
      <c r="J35" s="25"/>
      <c r="K35" s="25"/>
      <c r="L35" s="25"/>
      <c r="M35" s="25"/>
      <c r="N35" s="25"/>
      <c r="O35" s="25"/>
      <c r="P35" s="25"/>
      <c r="Q35" s="57">
        <f t="shared" si="1"/>
        <v>0</v>
      </c>
      <c r="R35" s="58">
        <f t="shared" si="0"/>
        <v>0</v>
      </c>
      <c r="S35" s="59">
        <f t="shared" si="2"/>
        <v>0</v>
      </c>
      <c r="U35" s="62"/>
    </row>
    <row r="36" spans="1:56" s="48" customFormat="1" ht="15.75">
      <c r="A36" s="55">
        <v>32</v>
      </c>
      <c r="B36" s="56" t="s">
        <v>47</v>
      </c>
      <c r="C36" s="25">
        <v>8399.77</v>
      </c>
      <c r="D36" s="25">
        <v>9608.75</v>
      </c>
      <c r="E36" s="25">
        <v>7923.75</v>
      </c>
      <c r="F36" s="25">
        <v>909.53</v>
      </c>
      <c r="G36" s="25">
        <v>1266.52</v>
      </c>
      <c r="H36" s="25">
        <v>247.57</v>
      </c>
      <c r="I36" s="25"/>
      <c r="J36" s="25"/>
      <c r="K36" s="25"/>
      <c r="L36" s="25"/>
      <c r="M36" s="25"/>
      <c r="N36" s="25"/>
      <c r="O36" s="25"/>
      <c r="P36" s="25"/>
      <c r="Q36" s="57">
        <f t="shared" si="1"/>
        <v>247.57</v>
      </c>
      <c r="R36" s="58">
        <f t="shared" si="0"/>
        <v>28355.89</v>
      </c>
      <c r="S36" s="59">
        <f t="shared" si="2"/>
        <v>28108.32</v>
      </c>
      <c r="T36" s="4"/>
      <c r="U36" s="62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1:21" s="4" customFormat="1" ht="15.75">
      <c r="A37" s="55">
        <v>33</v>
      </c>
      <c r="B37" s="56" t="s">
        <v>60</v>
      </c>
      <c r="C37" s="25">
        <v>2542.78</v>
      </c>
      <c r="D37" s="25">
        <v>2699.36</v>
      </c>
      <c r="E37" s="25">
        <v>636.63</v>
      </c>
      <c r="F37" s="25">
        <v>106.27</v>
      </c>
      <c r="G37" s="25">
        <v>148.32</v>
      </c>
      <c r="H37" s="25"/>
      <c r="I37" s="25"/>
      <c r="J37" s="25"/>
      <c r="K37" s="25"/>
      <c r="L37" s="25"/>
      <c r="M37" s="25"/>
      <c r="N37" s="25"/>
      <c r="O37" s="25"/>
      <c r="P37" s="25"/>
      <c r="Q37" s="57">
        <f t="shared" si="1"/>
        <v>0</v>
      </c>
      <c r="R37" s="58">
        <f t="shared" si="0"/>
        <v>6133.360000000001</v>
      </c>
      <c r="S37" s="59">
        <f t="shared" si="2"/>
        <v>6133.360000000001</v>
      </c>
      <c r="U37" s="62"/>
    </row>
    <row r="38" spans="1:21" s="4" customFormat="1" ht="16.5" thickBot="1">
      <c r="A38" s="55">
        <v>34</v>
      </c>
      <c r="B38" s="56" t="s">
        <v>61</v>
      </c>
      <c r="C38" s="25">
        <v>6228.32</v>
      </c>
      <c r="D38" s="25">
        <v>7309.17</v>
      </c>
      <c r="E38" s="25">
        <v>1472.63</v>
      </c>
      <c r="F38" s="25">
        <v>1832.32</v>
      </c>
      <c r="G38" s="25">
        <v>993.17</v>
      </c>
      <c r="H38" s="25"/>
      <c r="I38" s="25"/>
      <c r="J38" s="25"/>
      <c r="K38" s="25"/>
      <c r="L38" s="25"/>
      <c r="M38" s="25"/>
      <c r="N38" s="25"/>
      <c r="O38" s="25"/>
      <c r="P38" s="25"/>
      <c r="Q38" s="57">
        <f t="shared" si="1"/>
        <v>0</v>
      </c>
      <c r="R38" s="58">
        <f t="shared" si="0"/>
        <v>17835.609999999997</v>
      </c>
      <c r="S38" s="59">
        <f t="shared" si="2"/>
        <v>17835.609999999997</v>
      </c>
      <c r="U38" s="62"/>
    </row>
    <row r="39" spans="1:56" s="49" customFormat="1" ht="26.25" customHeight="1" thickBot="1">
      <c r="A39" s="57"/>
      <c r="B39" s="57" t="s">
        <v>31</v>
      </c>
      <c r="C39" s="57">
        <f>SUM(C5:C38)</f>
        <v>857800.05</v>
      </c>
      <c r="D39" s="57">
        <f aca="true" t="shared" si="3" ref="D39:P39">SUM(D5:D38)</f>
        <v>1032321.33</v>
      </c>
      <c r="E39" s="57">
        <f t="shared" si="3"/>
        <v>740779.16</v>
      </c>
      <c r="F39" s="57">
        <f t="shared" si="3"/>
        <v>93009.58000000002</v>
      </c>
      <c r="G39" s="57">
        <f t="shared" si="3"/>
        <v>108663.19</v>
      </c>
      <c r="H39" s="57">
        <f t="shared" si="3"/>
        <v>20156.69</v>
      </c>
      <c r="I39" s="57">
        <f t="shared" si="3"/>
        <v>736.72</v>
      </c>
      <c r="J39" s="57">
        <f t="shared" si="3"/>
        <v>8286.63</v>
      </c>
      <c r="K39" s="57">
        <f t="shared" si="3"/>
        <v>21281.859999999997</v>
      </c>
      <c r="L39" s="57">
        <f t="shared" si="3"/>
        <v>160729.22</v>
      </c>
      <c r="M39" s="57">
        <f t="shared" si="3"/>
        <v>12676.29</v>
      </c>
      <c r="N39" s="57">
        <f t="shared" si="3"/>
        <v>91517.31000000001</v>
      </c>
      <c r="O39" s="57">
        <f t="shared" si="3"/>
        <v>2109.97</v>
      </c>
      <c r="P39" s="57">
        <f t="shared" si="3"/>
        <v>48948.78</v>
      </c>
      <c r="Q39" s="57">
        <f t="shared" si="1"/>
        <v>366443.47</v>
      </c>
      <c r="R39" s="58">
        <f t="shared" si="0"/>
        <v>3199016.7800000003</v>
      </c>
      <c r="S39" s="59">
        <f t="shared" si="2"/>
        <v>2832573.3100000005</v>
      </c>
      <c r="T39" s="4"/>
      <c r="U39" s="62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2:19" ht="15.75">
      <c r="B40" s="29"/>
      <c r="C40" s="30"/>
      <c r="D40" s="30"/>
      <c r="E40" s="30"/>
      <c r="F40" s="31"/>
      <c r="G40" s="31"/>
      <c r="H40" s="32"/>
      <c r="I40" s="30"/>
      <c r="J40" s="30"/>
      <c r="K40" s="30"/>
      <c r="L40" s="30"/>
      <c r="M40" s="30"/>
      <c r="N40" s="30"/>
      <c r="O40" s="30"/>
      <c r="P40" s="30"/>
      <c r="Q40" s="30"/>
      <c r="S40" s="32"/>
    </row>
    <row r="41" spans="2:19" ht="15.75">
      <c r="B41" s="33"/>
      <c r="C41" s="30"/>
      <c r="D41" s="30"/>
      <c r="E41" s="30"/>
      <c r="F41" s="31"/>
      <c r="G41" s="31"/>
      <c r="H41" s="32"/>
      <c r="I41" s="30"/>
      <c r="J41" s="30"/>
      <c r="K41" s="30"/>
      <c r="L41" s="30"/>
      <c r="M41" s="30"/>
      <c r="N41" s="30"/>
      <c r="O41" s="30"/>
      <c r="P41" s="30"/>
      <c r="Q41" s="30"/>
      <c r="S41" s="32"/>
    </row>
    <row r="42" spans="2:18" ht="15">
      <c r="B42" s="8"/>
      <c r="C42" s="1"/>
      <c r="D42" s="1"/>
      <c r="E42" s="1"/>
      <c r="F42" s="2"/>
      <c r="G42" s="2"/>
      <c r="H42" s="15"/>
      <c r="I42" s="1"/>
      <c r="J42" s="1"/>
      <c r="K42" s="1"/>
      <c r="L42" s="1"/>
      <c r="M42" s="1"/>
      <c r="N42" s="1"/>
      <c r="O42" s="1"/>
      <c r="P42" s="1"/>
      <c r="Q42" s="1"/>
      <c r="R42" s="3"/>
    </row>
    <row r="43" spans="2:17" ht="15">
      <c r="B43" s="8"/>
      <c r="C43" s="1"/>
      <c r="D43" s="1"/>
      <c r="E43" s="1"/>
      <c r="F43" s="2"/>
      <c r="G43" s="2"/>
      <c r="H43" s="16"/>
      <c r="I43" s="1"/>
      <c r="J43" s="1"/>
      <c r="K43" s="1"/>
      <c r="L43" s="1"/>
      <c r="M43" s="1"/>
      <c r="N43" s="1"/>
      <c r="O43" s="1"/>
      <c r="P43" s="1"/>
      <c r="Q43" s="1"/>
    </row>
    <row r="44" spans="2:17" ht="15">
      <c r="B44" s="8"/>
      <c r="C44" s="1"/>
      <c r="D44" s="1"/>
      <c r="E44" s="1"/>
      <c r="F44" s="2"/>
      <c r="G44" s="2"/>
      <c r="H44" s="15"/>
      <c r="I44" s="1"/>
      <c r="J44" s="1"/>
      <c r="K44" s="1"/>
      <c r="L44" s="1"/>
      <c r="M44" s="1"/>
      <c r="N44" s="1"/>
      <c r="O44" s="1"/>
      <c r="P44" s="1"/>
      <c r="Q44" s="1"/>
    </row>
    <row r="45" spans="2:17" ht="15">
      <c r="B45" s="8"/>
      <c r="C45" s="1"/>
      <c r="D45" s="1"/>
      <c r="E45" s="1"/>
      <c r="F45" s="2"/>
      <c r="G45" s="2"/>
      <c r="H45" s="15"/>
      <c r="I45" s="1"/>
      <c r="J45" s="1"/>
      <c r="K45" s="1"/>
      <c r="L45" s="1"/>
      <c r="M45" s="1"/>
      <c r="N45" s="1"/>
      <c r="O45" s="1"/>
      <c r="P45" s="1"/>
      <c r="Q45" s="1"/>
    </row>
    <row r="46" spans="2:19" ht="12.75">
      <c r="B46" s="14"/>
      <c r="S46" s="63"/>
    </row>
    <row r="47" spans="2:12" ht="12.75">
      <c r="B47" s="9"/>
      <c r="F47" s="3"/>
      <c r="G47" s="3"/>
      <c r="L47" s="3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spans="2:19" ht="12.75">
      <c r="B56" s="10"/>
      <c r="C56" s="4"/>
      <c r="D56" s="4"/>
      <c r="E56" s="4"/>
      <c r="F56" s="4"/>
      <c r="G56" s="4"/>
      <c r="H56" s="18"/>
      <c r="I56" s="4"/>
      <c r="J56" s="4"/>
      <c r="K56" s="4"/>
      <c r="L56" s="4"/>
      <c r="M56" s="4"/>
      <c r="N56" s="4"/>
      <c r="O56" s="4"/>
      <c r="P56" s="4"/>
      <c r="Q56" s="4"/>
      <c r="R56" s="4"/>
      <c r="S56" s="13"/>
    </row>
    <row r="57" spans="2:19" ht="12.75">
      <c r="B57" s="10"/>
      <c r="C57" s="4"/>
      <c r="D57" s="4"/>
      <c r="E57" s="4"/>
      <c r="F57" s="4"/>
      <c r="G57" s="4"/>
      <c r="H57" s="18"/>
      <c r="I57" s="4"/>
      <c r="J57" s="4"/>
      <c r="K57" s="4"/>
      <c r="L57" s="4"/>
      <c r="M57" s="4"/>
      <c r="N57" s="4"/>
      <c r="O57" s="4"/>
      <c r="P57" s="4"/>
      <c r="Q57" s="4"/>
      <c r="R57" s="4"/>
      <c r="S57" s="13"/>
    </row>
    <row r="58" spans="2:19" ht="12.75">
      <c r="B58" s="10"/>
      <c r="C58" s="4"/>
      <c r="D58" s="4"/>
      <c r="E58" s="4"/>
      <c r="F58" s="4"/>
      <c r="G58" s="4"/>
      <c r="H58" s="18"/>
      <c r="I58" s="4"/>
      <c r="J58" s="4"/>
      <c r="K58" s="4"/>
      <c r="L58" s="4"/>
      <c r="M58" s="4"/>
      <c r="N58" s="4"/>
      <c r="O58" s="4"/>
      <c r="P58" s="4"/>
      <c r="Q58" s="4"/>
      <c r="R58" s="4"/>
      <c r="S58" s="13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</sheetData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40"/>
  <sheetViews>
    <sheetView workbookViewId="0" topLeftCell="A1">
      <selection activeCell="H33" sqref="H33"/>
    </sheetView>
  </sheetViews>
  <sheetFormatPr defaultColWidth="9.140625" defaultRowHeight="12.75"/>
  <cols>
    <col min="2" max="2" width="30.421875" style="0" customWidth="1"/>
    <col min="3" max="3" width="12.57421875" style="0" customWidth="1"/>
    <col min="8" max="8" width="12.7109375" style="0" customWidth="1"/>
  </cols>
  <sheetData>
    <row r="3" spans="1:8" ht="15">
      <c r="A3" s="73" t="s">
        <v>81</v>
      </c>
      <c r="B3" s="73"/>
      <c r="C3" s="73"/>
      <c r="D3" s="73"/>
      <c r="E3" s="73"/>
      <c r="F3" s="73"/>
      <c r="G3" s="73"/>
      <c r="H3" s="73"/>
    </row>
    <row r="4" spans="1:8" ht="14.25">
      <c r="A4" s="36"/>
      <c r="B4" s="36"/>
      <c r="C4" s="38"/>
      <c r="D4" s="1"/>
      <c r="E4" s="1"/>
      <c r="F4" s="1"/>
      <c r="G4" s="36"/>
      <c r="H4" s="36"/>
    </row>
    <row r="5" spans="1:3" ht="15.75">
      <c r="A5" s="50" t="s">
        <v>0</v>
      </c>
      <c r="B5" s="51" t="s">
        <v>1</v>
      </c>
      <c r="C5" s="51" t="s">
        <v>71</v>
      </c>
    </row>
    <row r="6" spans="1:3" ht="15.75">
      <c r="A6" s="55">
        <v>1</v>
      </c>
      <c r="B6" s="56" t="s">
        <v>6</v>
      </c>
      <c r="C6" s="67"/>
    </row>
    <row r="7" spans="1:3" ht="15.75">
      <c r="A7" s="55">
        <v>2</v>
      </c>
      <c r="B7" s="56" t="s">
        <v>7</v>
      </c>
      <c r="C7" s="67"/>
    </row>
    <row r="8" spans="1:3" ht="15.75">
      <c r="A8" s="55">
        <v>3</v>
      </c>
      <c r="B8" s="56" t="s">
        <v>8</v>
      </c>
      <c r="C8" s="67"/>
    </row>
    <row r="9" spans="1:3" ht="15.75">
      <c r="A9" s="55">
        <v>4</v>
      </c>
      <c r="B9" s="56" t="s">
        <v>9</v>
      </c>
      <c r="C9" s="67"/>
    </row>
    <row r="10" spans="1:3" ht="15.75">
      <c r="A10" s="55">
        <v>5</v>
      </c>
      <c r="B10" s="56" t="s">
        <v>10</v>
      </c>
      <c r="C10" s="67"/>
    </row>
    <row r="11" spans="1:3" ht="15.75">
      <c r="A11" s="55">
        <v>6</v>
      </c>
      <c r="B11" s="56" t="s">
        <v>11</v>
      </c>
      <c r="C11" s="67">
        <v>439.43</v>
      </c>
    </row>
    <row r="12" spans="1:3" ht="15.75">
      <c r="A12" s="55">
        <v>7</v>
      </c>
      <c r="B12" s="56" t="s">
        <v>59</v>
      </c>
      <c r="C12" s="67"/>
    </row>
    <row r="13" spans="1:3" ht="15.75">
      <c r="A13" s="55">
        <v>8</v>
      </c>
      <c r="B13" s="56" t="s">
        <v>12</v>
      </c>
      <c r="C13" s="67"/>
    </row>
    <row r="14" spans="1:3" ht="15.75">
      <c r="A14" s="55">
        <v>9</v>
      </c>
      <c r="B14" s="56" t="s">
        <v>13</v>
      </c>
      <c r="C14" s="67"/>
    </row>
    <row r="15" spans="1:3" ht="15.75">
      <c r="A15" s="55">
        <v>10</v>
      </c>
      <c r="B15" s="56" t="s">
        <v>14</v>
      </c>
      <c r="C15" s="67"/>
    </row>
    <row r="16" spans="1:3" ht="15.75">
      <c r="A16" s="55">
        <v>11</v>
      </c>
      <c r="B16" s="56" t="s">
        <v>15</v>
      </c>
      <c r="C16" s="67"/>
    </row>
    <row r="17" spans="1:3" ht="15.75">
      <c r="A17" s="55">
        <v>12</v>
      </c>
      <c r="B17" s="56" t="s">
        <v>16</v>
      </c>
      <c r="C17" s="67"/>
    </row>
    <row r="18" spans="1:3" ht="15.75">
      <c r="A18" s="55">
        <v>13</v>
      </c>
      <c r="B18" s="56" t="s">
        <v>17</v>
      </c>
      <c r="C18" s="67">
        <v>439.43</v>
      </c>
    </row>
    <row r="19" spans="1:3" ht="15.75">
      <c r="A19" s="55">
        <v>14</v>
      </c>
      <c r="B19" s="56" t="s">
        <v>18</v>
      </c>
      <c r="C19" s="67"/>
    </row>
    <row r="20" spans="1:3" ht="15.75">
      <c r="A20" s="55">
        <v>15</v>
      </c>
      <c r="B20" s="56" t="s">
        <v>19</v>
      </c>
      <c r="C20" s="67"/>
    </row>
    <row r="21" spans="1:3" ht="15.75">
      <c r="A21" s="55">
        <v>16</v>
      </c>
      <c r="B21" s="56" t="s">
        <v>20</v>
      </c>
      <c r="C21" s="67"/>
    </row>
    <row r="22" spans="1:3" ht="15.75">
      <c r="A22" s="55">
        <v>17</v>
      </c>
      <c r="B22" s="56" t="s">
        <v>21</v>
      </c>
      <c r="C22" s="67"/>
    </row>
    <row r="23" spans="1:3" ht="15.75">
      <c r="A23" s="55">
        <v>18</v>
      </c>
      <c r="B23" s="56" t="s">
        <v>22</v>
      </c>
      <c r="C23" s="67"/>
    </row>
    <row r="24" spans="1:3" ht="15.75">
      <c r="A24" s="55">
        <v>19</v>
      </c>
      <c r="B24" s="56" t="s">
        <v>23</v>
      </c>
      <c r="C24" s="67"/>
    </row>
    <row r="25" spans="1:3" ht="15.75">
      <c r="A25" s="55">
        <v>20</v>
      </c>
      <c r="B25" s="56" t="s">
        <v>24</v>
      </c>
      <c r="C25" s="67"/>
    </row>
    <row r="26" spans="1:3" ht="15.75">
      <c r="A26" s="55">
        <v>21</v>
      </c>
      <c r="B26" s="56" t="s">
        <v>25</v>
      </c>
      <c r="C26" s="67">
        <v>1757.68</v>
      </c>
    </row>
    <row r="27" spans="1:3" ht="15.75">
      <c r="A27" s="55">
        <v>22</v>
      </c>
      <c r="B27" s="56" t="s">
        <v>26</v>
      </c>
      <c r="C27" s="67"/>
    </row>
    <row r="28" spans="1:3" ht="15.75">
      <c r="A28" s="55">
        <v>23</v>
      </c>
      <c r="B28" s="56" t="s">
        <v>27</v>
      </c>
      <c r="C28" s="67"/>
    </row>
    <row r="29" spans="1:3" ht="15.75">
      <c r="A29" s="55">
        <v>24</v>
      </c>
      <c r="B29" s="56" t="s">
        <v>28</v>
      </c>
      <c r="C29" s="67"/>
    </row>
    <row r="30" spans="1:3" ht="15.75">
      <c r="A30" s="55">
        <v>25</v>
      </c>
      <c r="B30" s="56" t="s">
        <v>29</v>
      </c>
      <c r="C30" s="67"/>
    </row>
    <row r="31" spans="1:3" ht="15.75">
      <c r="A31" s="55">
        <v>26</v>
      </c>
      <c r="B31" s="56" t="s">
        <v>30</v>
      </c>
      <c r="C31" s="67"/>
    </row>
    <row r="32" spans="1:3" ht="15.75">
      <c r="A32" s="55">
        <v>27</v>
      </c>
      <c r="B32" s="56" t="s">
        <v>40</v>
      </c>
      <c r="C32" s="67"/>
    </row>
    <row r="33" spans="1:3" ht="15.75">
      <c r="A33" s="55">
        <v>28</v>
      </c>
      <c r="B33" s="56" t="s">
        <v>41</v>
      </c>
      <c r="C33" s="67"/>
    </row>
    <row r="34" spans="1:3" ht="15.75">
      <c r="A34" s="55">
        <v>29</v>
      </c>
      <c r="B34" s="56" t="s">
        <v>42</v>
      </c>
      <c r="C34" s="67"/>
    </row>
    <row r="35" spans="1:3" ht="15.75">
      <c r="A35" s="55">
        <v>30</v>
      </c>
      <c r="B35" s="56" t="s">
        <v>44</v>
      </c>
      <c r="C35" s="67"/>
    </row>
    <row r="36" spans="1:3" ht="15.75">
      <c r="A36" s="55">
        <v>31</v>
      </c>
      <c r="B36" s="56" t="s">
        <v>45</v>
      </c>
      <c r="C36" s="67"/>
    </row>
    <row r="37" spans="1:3" ht="15.75">
      <c r="A37" s="55">
        <v>32</v>
      </c>
      <c r="B37" s="56" t="s">
        <v>47</v>
      </c>
      <c r="C37" s="67"/>
    </row>
    <row r="38" spans="1:3" ht="15.75">
      <c r="A38" s="55">
        <v>33</v>
      </c>
      <c r="B38" s="56" t="s">
        <v>60</v>
      </c>
      <c r="C38" s="67"/>
    </row>
    <row r="39" spans="1:3" ht="15.75">
      <c r="A39" s="55">
        <v>34</v>
      </c>
      <c r="B39" s="56" t="s">
        <v>61</v>
      </c>
      <c r="C39" s="67"/>
    </row>
    <row r="40" spans="1:3" ht="15.75">
      <c r="A40" s="57"/>
      <c r="B40" s="57" t="s">
        <v>31</v>
      </c>
      <c r="C40" s="68">
        <f>SUM(C6:C39)</f>
        <v>2636.54</v>
      </c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40"/>
  <sheetViews>
    <sheetView workbookViewId="0" topLeftCell="A7">
      <selection activeCell="E40" sqref="E40"/>
    </sheetView>
  </sheetViews>
  <sheetFormatPr defaultColWidth="9.140625" defaultRowHeight="12.75"/>
  <cols>
    <col min="2" max="2" width="29.140625" style="0" customWidth="1"/>
    <col min="3" max="3" width="15.140625" style="0" customWidth="1"/>
  </cols>
  <sheetData>
    <row r="3" spans="1:9" ht="15">
      <c r="A3" s="61" t="s">
        <v>82</v>
      </c>
      <c r="B3" s="61"/>
      <c r="C3" s="61"/>
      <c r="D3" s="61"/>
      <c r="E3" s="61"/>
      <c r="F3" s="61"/>
      <c r="G3" s="61"/>
      <c r="H3" s="61"/>
      <c r="I3" s="61"/>
    </row>
    <row r="4" spans="1:9" ht="14.25">
      <c r="A4" s="36"/>
      <c r="B4" s="36"/>
      <c r="C4" s="38"/>
      <c r="D4" s="1"/>
      <c r="E4" s="1"/>
      <c r="F4" s="1"/>
      <c r="G4" s="1"/>
      <c r="H4" s="36"/>
      <c r="I4" s="36"/>
    </row>
    <row r="5" spans="1:9" ht="47.25">
      <c r="A5" s="50" t="s">
        <v>0</v>
      </c>
      <c r="B5" s="51" t="s">
        <v>1</v>
      </c>
      <c r="C5" s="51" t="s">
        <v>70</v>
      </c>
      <c r="D5" s="36"/>
      <c r="E5" s="36"/>
      <c r="F5" s="36"/>
      <c r="G5" s="36"/>
      <c r="H5" s="36"/>
      <c r="I5" s="36"/>
    </row>
    <row r="6" spans="1:9" ht="15.75">
      <c r="A6" s="55">
        <v>1</v>
      </c>
      <c r="B6" s="56" t="s">
        <v>6</v>
      </c>
      <c r="C6" s="6">
        <v>1307.12</v>
      </c>
      <c r="D6" s="36"/>
      <c r="E6" s="36"/>
      <c r="F6" s="36"/>
      <c r="G6" s="36"/>
      <c r="H6" s="36"/>
      <c r="I6" s="36"/>
    </row>
    <row r="7" spans="1:3" ht="15.75">
      <c r="A7" s="55">
        <v>2</v>
      </c>
      <c r="B7" s="56" t="s">
        <v>7</v>
      </c>
      <c r="C7" s="67">
        <v>653.56</v>
      </c>
    </row>
    <row r="8" spans="1:3" ht="15.75">
      <c r="A8" s="55">
        <v>3</v>
      </c>
      <c r="B8" s="56" t="s">
        <v>8</v>
      </c>
      <c r="C8" s="67">
        <v>653.56</v>
      </c>
    </row>
    <row r="9" spans="1:3" ht="15.75">
      <c r="A9" s="55">
        <v>4</v>
      </c>
      <c r="B9" s="56" t="s">
        <v>9</v>
      </c>
      <c r="C9" s="67"/>
    </row>
    <row r="10" spans="1:3" ht="15.75">
      <c r="A10" s="55">
        <v>5</v>
      </c>
      <c r="B10" s="56" t="s">
        <v>10</v>
      </c>
      <c r="C10" s="67">
        <v>980.34</v>
      </c>
    </row>
    <row r="11" spans="1:3" ht="15.75">
      <c r="A11" s="55">
        <v>6</v>
      </c>
      <c r="B11" s="56" t="s">
        <v>11</v>
      </c>
      <c r="C11" s="67">
        <v>653.56</v>
      </c>
    </row>
    <row r="12" spans="1:3" ht="15.75">
      <c r="A12" s="55">
        <v>7</v>
      </c>
      <c r="B12" s="56" t="s">
        <v>59</v>
      </c>
      <c r="C12" s="67">
        <v>326.78</v>
      </c>
    </row>
    <row r="13" spans="1:3" ht="15.75">
      <c r="A13" s="55">
        <v>8</v>
      </c>
      <c r="B13" s="56" t="s">
        <v>12</v>
      </c>
      <c r="C13" s="67">
        <v>326.78</v>
      </c>
    </row>
    <row r="14" spans="1:3" ht="15.75">
      <c r="A14" s="55">
        <v>9</v>
      </c>
      <c r="B14" s="56" t="s">
        <v>13</v>
      </c>
      <c r="C14" s="67">
        <v>1633.9</v>
      </c>
    </row>
    <row r="15" spans="1:3" ht="15.75">
      <c r="A15" s="55">
        <v>10</v>
      </c>
      <c r="B15" s="56" t="s">
        <v>14</v>
      </c>
      <c r="C15" s="67">
        <v>980.34</v>
      </c>
    </row>
    <row r="16" spans="1:3" ht="15.75">
      <c r="A16" s="55">
        <v>11</v>
      </c>
      <c r="B16" s="56" t="s">
        <v>15</v>
      </c>
      <c r="C16" s="67">
        <v>1633.9</v>
      </c>
    </row>
    <row r="17" spans="1:3" ht="15.75">
      <c r="A17" s="55">
        <v>12</v>
      </c>
      <c r="B17" s="56" t="s">
        <v>16</v>
      </c>
      <c r="C17" s="67">
        <v>980.34</v>
      </c>
    </row>
    <row r="18" spans="1:3" ht="15.75">
      <c r="A18" s="55">
        <v>13</v>
      </c>
      <c r="B18" s="56" t="s">
        <v>17</v>
      </c>
      <c r="C18" s="67">
        <v>653.56</v>
      </c>
    </row>
    <row r="19" spans="1:3" ht="15.75">
      <c r="A19" s="55">
        <v>14</v>
      </c>
      <c r="B19" s="56" t="s">
        <v>18</v>
      </c>
      <c r="C19" s="67"/>
    </row>
    <row r="20" spans="1:3" ht="15.75">
      <c r="A20" s="55">
        <v>15</v>
      </c>
      <c r="B20" s="56" t="s">
        <v>19</v>
      </c>
      <c r="C20" s="67"/>
    </row>
    <row r="21" spans="1:3" ht="15.75">
      <c r="A21" s="55">
        <v>16</v>
      </c>
      <c r="B21" s="56" t="s">
        <v>20</v>
      </c>
      <c r="C21" s="67">
        <v>326.78</v>
      </c>
    </row>
    <row r="22" spans="1:3" ht="15.75">
      <c r="A22" s="55">
        <v>17</v>
      </c>
      <c r="B22" s="56" t="s">
        <v>21</v>
      </c>
      <c r="C22" s="67">
        <v>653.56</v>
      </c>
    </row>
    <row r="23" spans="1:3" ht="15.75">
      <c r="A23" s="55">
        <v>18</v>
      </c>
      <c r="B23" s="56" t="s">
        <v>22</v>
      </c>
      <c r="C23" s="67">
        <v>1307.1</v>
      </c>
    </row>
    <row r="24" spans="1:3" ht="15.75">
      <c r="A24" s="55">
        <v>19</v>
      </c>
      <c r="B24" s="56" t="s">
        <v>23</v>
      </c>
      <c r="C24" s="67"/>
    </row>
    <row r="25" spans="1:3" ht="15.75">
      <c r="A25" s="55">
        <v>20</v>
      </c>
      <c r="B25" s="56" t="s">
        <v>24</v>
      </c>
      <c r="C25" s="67"/>
    </row>
    <row r="26" spans="1:3" ht="15.75">
      <c r="A26" s="55">
        <v>21</v>
      </c>
      <c r="B26" s="56" t="s">
        <v>25</v>
      </c>
      <c r="C26" s="67">
        <v>1960.62</v>
      </c>
    </row>
    <row r="27" spans="1:3" ht="15.75">
      <c r="A27" s="55">
        <v>22</v>
      </c>
      <c r="B27" s="56" t="s">
        <v>26</v>
      </c>
      <c r="C27" s="67"/>
    </row>
    <row r="28" spans="1:3" ht="15.75">
      <c r="A28" s="55">
        <v>23</v>
      </c>
      <c r="B28" s="56" t="s">
        <v>27</v>
      </c>
      <c r="C28" s="67">
        <v>653.56</v>
      </c>
    </row>
    <row r="29" spans="1:3" ht="15.75">
      <c r="A29" s="55">
        <v>24</v>
      </c>
      <c r="B29" s="56" t="s">
        <v>28</v>
      </c>
      <c r="C29" s="67"/>
    </row>
    <row r="30" spans="1:3" ht="15.75">
      <c r="A30" s="55">
        <v>25</v>
      </c>
      <c r="B30" s="56" t="s">
        <v>29</v>
      </c>
      <c r="C30" s="67">
        <v>1960.68</v>
      </c>
    </row>
    <row r="31" spans="1:3" ht="15.75">
      <c r="A31" s="55">
        <v>26</v>
      </c>
      <c r="B31" s="56" t="s">
        <v>30</v>
      </c>
      <c r="C31" s="67">
        <v>326.78</v>
      </c>
    </row>
    <row r="32" spans="1:3" ht="15.75">
      <c r="A32" s="55">
        <v>27</v>
      </c>
      <c r="B32" s="56" t="s">
        <v>40</v>
      </c>
      <c r="C32" s="67"/>
    </row>
    <row r="33" spans="1:3" ht="15.75">
      <c r="A33" s="55">
        <v>28</v>
      </c>
      <c r="B33" s="56" t="s">
        <v>41</v>
      </c>
      <c r="C33" s="67">
        <v>980.34</v>
      </c>
    </row>
    <row r="34" spans="1:3" ht="15.75">
      <c r="A34" s="55">
        <v>29</v>
      </c>
      <c r="B34" s="56" t="s">
        <v>42</v>
      </c>
      <c r="C34" s="67">
        <v>1960.68</v>
      </c>
    </row>
    <row r="35" spans="1:3" ht="15.75">
      <c r="A35" s="55">
        <v>30</v>
      </c>
      <c r="B35" s="56" t="s">
        <v>44</v>
      </c>
      <c r="C35" s="67"/>
    </row>
    <row r="36" spans="1:3" ht="15.75">
      <c r="A36" s="55">
        <v>31</v>
      </c>
      <c r="B36" s="56" t="s">
        <v>45</v>
      </c>
      <c r="C36" s="67"/>
    </row>
    <row r="37" spans="1:3" ht="15.75">
      <c r="A37" s="55">
        <v>32</v>
      </c>
      <c r="B37" s="56" t="s">
        <v>47</v>
      </c>
      <c r="C37" s="67"/>
    </row>
    <row r="38" spans="1:3" ht="15.75">
      <c r="A38" s="55">
        <v>33</v>
      </c>
      <c r="B38" s="56" t="s">
        <v>60</v>
      </c>
      <c r="C38" s="67"/>
    </row>
    <row r="39" spans="1:3" ht="15.75">
      <c r="A39" s="55">
        <v>34</v>
      </c>
      <c r="B39" s="56" t="s">
        <v>61</v>
      </c>
      <c r="C39" s="67">
        <v>326.78</v>
      </c>
    </row>
    <row r="40" spans="1:3" ht="15.75">
      <c r="A40" s="57"/>
      <c r="B40" s="57" t="s">
        <v>31</v>
      </c>
      <c r="C40" s="68">
        <f>SUM(C6:C39)</f>
        <v>21240.619999999995</v>
      </c>
    </row>
  </sheetData>
  <printOptions/>
  <pageMargins left="0.75" right="0.75" top="1" bottom="1" header="0.5" footer="0.5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F40"/>
  <sheetViews>
    <sheetView workbookViewId="0" topLeftCell="A1">
      <selection activeCell="D27" sqref="D27"/>
    </sheetView>
  </sheetViews>
  <sheetFormatPr defaultColWidth="9.140625" defaultRowHeight="12.75"/>
  <cols>
    <col min="2" max="2" width="31.28125" style="0" bestFit="1" customWidth="1"/>
    <col min="3" max="3" width="21.7109375" style="0" customWidth="1"/>
    <col min="4" max="4" width="21.57421875" style="0" customWidth="1"/>
  </cols>
  <sheetData>
    <row r="3" spans="1:6" ht="15">
      <c r="A3" s="61" t="s">
        <v>83</v>
      </c>
      <c r="B3" s="61"/>
      <c r="C3" s="61"/>
      <c r="D3" s="61"/>
      <c r="E3" s="61"/>
      <c r="F3" s="61"/>
    </row>
    <row r="4" spans="1:6" ht="14.25">
      <c r="A4" s="75"/>
      <c r="B4" s="75"/>
      <c r="C4" s="75"/>
      <c r="D4" s="40"/>
      <c r="E4" s="36"/>
      <c r="F4" s="36"/>
    </row>
    <row r="5" spans="1:4" ht="31.5">
      <c r="A5" s="50" t="s">
        <v>0</v>
      </c>
      <c r="B5" s="51" t="s">
        <v>1</v>
      </c>
      <c r="C5" s="51" t="s">
        <v>67</v>
      </c>
      <c r="D5" s="51" t="s">
        <v>68</v>
      </c>
    </row>
    <row r="6" spans="1:4" ht="15.75">
      <c r="A6" s="55">
        <v>1</v>
      </c>
      <c r="B6" s="56" t="s">
        <v>6</v>
      </c>
      <c r="C6" s="67"/>
      <c r="D6" s="67"/>
    </row>
    <row r="7" spans="1:4" ht="15.75">
      <c r="A7" s="55">
        <v>2</v>
      </c>
      <c r="B7" s="56" t="s">
        <v>7</v>
      </c>
      <c r="C7" s="67"/>
      <c r="D7" s="67"/>
    </row>
    <row r="8" spans="1:4" ht="15.75">
      <c r="A8" s="55">
        <v>3</v>
      </c>
      <c r="B8" s="56" t="s">
        <v>8</v>
      </c>
      <c r="C8" s="67"/>
      <c r="D8" s="67"/>
    </row>
    <row r="9" spans="1:4" ht="15.75">
      <c r="A9" s="55">
        <v>4</v>
      </c>
      <c r="B9" s="56" t="s">
        <v>9</v>
      </c>
      <c r="C9" s="67"/>
      <c r="D9" s="67"/>
    </row>
    <row r="10" spans="1:4" ht="15.75">
      <c r="A10" s="55">
        <v>5</v>
      </c>
      <c r="B10" s="56" t="s">
        <v>10</v>
      </c>
      <c r="C10" s="67"/>
      <c r="D10" s="67"/>
    </row>
    <row r="11" spans="1:4" ht="15.75">
      <c r="A11" s="55">
        <v>6</v>
      </c>
      <c r="B11" s="56" t="s">
        <v>11</v>
      </c>
      <c r="C11" s="67"/>
      <c r="D11" s="67"/>
    </row>
    <row r="12" spans="1:4" ht="15.75">
      <c r="A12" s="55">
        <v>7</v>
      </c>
      <c r="B12" s="56" t="s">
        <v>59</v>
      </c>
      <c r="C12" s="67"/>
      <c r="D12" s="67"/>
    </row>
    <row r="13" spans="1:4" ht="15.75">
      <c r="A13" s="55">
        <v>8</v>
      </c>
      <c r="B13" s="56" t="s">
        <v>12</v>
      </c>
      <c r="C13" s="67"/>
      <c r="D13" s="67"/>
    </row>
    <row r="14" spans="1:4" ht="15.75">
      <c r="A14" s="55">
        <v>9</v>
      </c>
      <c r="B14" s="56" t="s">
        <v>13</v>
      </c>
      <c r="C14" s="67">
        <v>2866.47</v>
      </c>
      <c r="D14" s="67"/>
    </row>
    <row r="15" spans="1:4" ht="15.75">
      <c r="A15" s="55">
        <v>10</v>
      </c>
      <c r="B15" s="56" t="s">
        <v>14</v>
      </c>
      <c r="C15" s="67"/>
      <c r="D15" s="67"/>
    </row>
    <row r="16" spans="1:4" ht="15.75">
      <c r="A16" s="55">
        <v>11</v>
      </c>
      <c r="B16" s="56" t="s">
        <v>15</v>
      </c>
      <c r="C16" s="67"/>
      <c r="D16" s="67"/>
    </row>
    <row r="17" spans="1:4" ht="15.75">
      <c r="A17" s="55">
        <v>12</v>
      </c>
      <c r="B17" s="56" t="s">
        <v>16</v>
      </c>
      <c r="C17" s="67"/>
      <c r="D17" s="67"/>
    </row>
    <row r="18" spans="1:4" ht="15.75">
      <c r="A18" s="55">
        <v>13</v>
      </c>
      <c r="B18" s="56" t="s">
        <v>17</v>
      </c>
      <c r="C18" s="67">
        <v>6856.2</v>
      </c>
      <c r="D18" s="67">
        <v>5763.56</v>
      </c>
    </row>
    <row r="19" spans="1:4" ht="15.75">
      <c r="A19" s="55">
        <v>14</v>
      </c>
      <c r="B19" s="56" t="s">
        <v>18</v>
      </c>
      <c r="C19" s="67"/>
      <c r="D19" s="67"/>
    </row>
    <row r="20" spans="1:4" ht="15.75">
      <c r="A20" s="55">
        <v>15</v>
      </c>
      <c r="B20" s="56" t="s">
        <v>19</v>
      </c>
      <c r="C20" s="67"/>
      <c r="D20" s="67"/>
    </row>
    <row r="21" spans="1:4" ht="15.75">
      <c r="A21" s="55">
        <v>16</v>
      </c>
      <c r="B21" s="56" t="s">
        <v>20</v>
      </c>
      <c r="C21" s="67"/>
      <c r="D21" s="67"/>
    </row>
    <row r="22" spans="1:4" ht="15.75">
      <c r="A22" s="55">
        <v>17</v>
      </c>
      <c r="B22" s="56" t="s">
        <v>21</v>
      </c>
      <c r="C22" s="67"/>
      <c r="D22" s="67"/>
    </row>
    <row r="23" spans="1:4" ht="15.75">
      <c r="A23" s="55">
        <v>18</v>
      </c>
      <c r="B23" s="56" t="s">
        <v>22</v>
      </c>
      <c r="C23" s="67"/>
      <c r="D23" s="67"/>
    </row>
    <row r="24" spans="1:4" ht="15.75">
      <c r="A24" s="55">
        <v>19</v>
      </c>
      <c r="B24" s="56" t="s">
        <v>23</v>
      </c>
      <c r="C24" s="67"/>
      <c r="D24" s="67"/>
    </row>
    <row r="25" spans="1:4" ht="15.75">
      <c r="A25" s="55">
        <v>20</v>
      </c>
      <c r="B25" s="56" t="s">
        <v>24</v>
      </c>
      <c r="C25" s="67"/>
      <c r="D25" s="67"/>
    </row>
    <row r="26" spans="1:4" ht="15.75">
      <c r="A26" s="55">
        <v>21</v>
      </c>
      <c r="B26" s="56" t="s">
        <v>25</v>
      </c>
      <c r="C26" s="67"/>
      <c r="D26" s="67">
        <v>2737.05</v>
      </c>
    </row>
    <row r="27" spans="1:4" ht="15.75">
      <c r="A27" s="55">
        <v>22</v>
      </c>
      <c r="B27" s="56" t="s">
        <v>26</v>
      </c>
      <c r="C27" s="67"/>
      <c r="D27" s="67"/>
    </row>
    <row r="28" spans="1:4" ht="15.75">
      <c r="A28" s="55">
        <v>23</v>
      </c>
      <c r="B28" s="56" t="s">
        <v>27</v>
      </c>
      <c r="C28" s="67"/>
      <c r="D28" s="67"/>
    </row>
    <row r="29" spans="1:4" ht="15.75">
      <c r="A29" s="55">
        <v>24</v>
      </c>
      <c r="B29" s="56" t="s">
        <v>28</v>
      </c>
      <c r="C29" s="67"/>
      <c r="D29" s="67"/>
    </row>
    <row r="30" spans="1:4" ht="15.75">
      <c r="A30" s="55">
        <v>25</v>
      </c>
      <c r="B30" s="56" t="s">
        <v>29</v>
      </c>
      <c r="C30" s="67"/>
      <c r="D30" s="67"/>
    </row>
    <row r="31" spans="1:4" ht="15.75">
      <c r="A31" s="55">
        <v>26</v>
      </c>
      <c r="B31" s="56" t="s">
        <v>30</v>
      </c>
      <c r="C31" s="67"/>
      <c r="D31" s="67"/>
    </row>
    <row r="32" spans="1:4" ht="15.75">
      <c r="A32" s="55">
        <v>27</v>
      </c>
      <c r="B32" s="56" t="s">
        <v>40</v>
      </c>
      <c r="C32" s="67"/>
      <c r="D32" s="67"/>
    </row>
    <row r="33" spans="1:4" ht="15.75">
      <c r="A33" s="55">
        <v>28</v>
      </c>
      <c r="B33" s="56" t="s">
        <v>41</v>
      </c>
      <c r="C33" s="67"/>
      <c r="D33" s="67"/>
    </row>
    <row r="34" spans="1:4" ht="15.75">
      <c r="A34" s="55">
        <v>29</v>
      </c>
      <c r="B34" s="56" t="s">
        <v>42</v>
      </c>
      <c r="C34" s="67"/>
      <c r="D34" s="67"/>
    </row>
    <row r="35" spans="1:4" ht="15.75">
      <c r="A35" s="55">
        <v>30</v>
      </c>
      <c r="B35" s="56" t="s">
        <v>44</v>
      </c>
      <c r="C35" s="67"/>
      <c r="D35" s="67"/>
    </row>
    <row r="36" spans="1:4" ht="15.75">
      <c r="A36" s="55">
        <v>31</v>
      </c>
      <c r="B36" s="56" t="s">
        <v>45</v>
      </c>
      <c r="C36" s="67"/>
      <c r="D36" s="67"/>
    </row>
    <row r="37" spans="1:4" ht="15.75">
      <c r="A37" s="55">
        <v>32</v>
      </c>
      <c r="B37" s="56" t="s">
        <v>47</v>
      </c>
      <c r="C37" s="67"/>
      <c r="D37" s="67"/>
    </row>
    <row r="38" spans="1:4" ht="15.75">
      <c r="A38" s="55">
        <v>33</v>
      </c>
      <c r="B38" s="56" t="s">
        <v>60</v>
      </c>
      <c r="C38" s="67"/>
      <c r="D38" s="67"/>
    </row>
    <row r="39" spans="1:4" ht="15.75">
      <c r="A39" s="55">
        <v>34</v>
      </c>
      <c r="B39" s="56" t="s">
        <v>61</v>
      </c>
      <c r="C39" s="67"/>
      <c r="D39" s="67"/>
    </row>
    <row r="40" spans="1:4" ht="15.75">
      <c r="A40" s="57"/>
      <c r="B40" s="57" t="s">
        <v>31</v>
      </c>
      <c r="C40" s="68">
        <f>SUM(C6:C39)</f>
        <v>9722.67</v>
      </c>
      <c r="D40" s="68">
        <f>SUM(D6:D39)</f>
        <v>8500.61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51"/>
  <sheetViews>
    <sheetView workbookViewId="0" topLeftCell="A4">
      <selection activeCell="D7" sqref="D7:D40"/>
    </sheetView>
  </sheetViews>
  <sheetFormatPr defaultColWidth="9.140625" defaultRowHeight="12.75"/>
  <cols>
    <col min="1" max="1" width="6.8515625" style="0" customWidth="1"/>
    <col min="2" max="2" width="31.00390625" style="0" customWidth="1"/>
    <col min="3" max="3" width="18.421875" style="0" customWidth="1"/>
    <col min="4" max="4" width="18.28125" style="0" customWidth="1"/>
    <col min="5" max="5" width="16.28125" style="0" customWidth="1"/>
    <col min="6" max="6" width="9.8515625" style="0" customWidth="1"/>
    <col min="7" max="7" width="16.28125" style="0" customWidth="1"/>
  </cols>
  <sheetData>
    <row r="3" spans="1:7" ht="15" customHeight="1">
      <c r="A3" s="71" t="s">
        <v>73</v>
      </c>
      <c r="B3" s="71"/>
      <c r="C3" s="71"/>
      <c r="D3" s="71"/>
      <c r="E3" s="71"/>
      <c r="F3" s="71"/>
      <c r="G3" s="72"/>
    </row>
    <row r="4" spans="1:6" ht="15">
      <c r="A4" s="34"/>
      <c r="B4" s="35"/>
      <c r="C4" s="35"/>
      <c r="D4" s="34"/>
      <c r="E4" s="34"/>
      <c r="F4" s="34"/>
    </row>
    <row r="5" spans="1:6" ht="15" thickBot="1">
      <c r="A5" s="36"/>
      <c r="B5" s="36"/>
      <c r="C5" s="37"/>
      <c r="D5" s="36"/>
      <c r="E5" s="38"/>
      <c r="F5" s="36"/>
    </row>
    <row r="6" spans="1:6" ht="46.5" customHeight="1" thickBot="1">
      <c r="A6" s="50" t="s">
        <v>0</v>
      </c>
      <c r="B6" s="51" t="s">
        <v>1</v>
      </c>
      <c r="C6" s="46" t="s">
        <v>32</v>
      </c>
      <c r="D6" s="46" t="s">
        <v>33</v>
      </c>
      <c r="E6" s="47" t="s">
        <v>34</v>
      </c>
      <c r="F6" s="36"/>
    </row>
    <row r="7" spans="1:9" ht="15.75">
      <c r="A7" s="55">
        <v>1</v>
      </c>
      <c r="B7" s="56" t="s">
        <v>6</v>
      </c>
      <c r="C7" s="44">
        <v>8024.37</v>
      </c>
      <c r="D7" s="44">
        <v>6414.52</v>
      </c>
      <c r="E7" s="45">
        <f>C7+D7</f>
        <v>14438.89</v>
      </c>
      <c r="F7" s="36"/>
      <c r="H7" s="3"/>
      <c r="I7" s="3"/>
    </row>
    <row r="8" spans="1:8" ht="15.75">
      <c r="A8" s="55">
        <v>2</v>
      </c>
      <c r="B8" s="56" t="s">
        <v>7</v>
      </c>
      <c r="C8" s="6">
        <v>3323.36</v>
      </c>
      <c r="D8" s="6">
        <v>2658.84</v>
      </c>
      <c r="E8" s="45">
        <f aca="true" t="shared" si="0" ref="E8:E41">C8+D8</f>
        <v>5982.200000000001</v>
      </c>
      <c r="F8" s="36"/>
      <c r="H8" s="3"/>
    </row>
    <row r="9" spans="1:8" ht="15.75">
      <c r="A9" s="55">
        <v>3</v>
      </c>
      <c r="B9" s="56" t="s">
        <v>8</v>
      </c>
      <c r="C9" s="1">
        <v>3835.29</v>
      </c>
      <c r="D9" s="6">
        <v>3068.38</v>
      </c>
      <c r="E9" s="45">
        <f t="shared" si="0"/>
        <v>6903.67</v>
      </c>
      <c r="F9" s="36"/>
      <c r="H9" s="3"/>
    </row>
    <row r="10" spans="1:8" ht="15.75">
      <c r="A10" s="55">
        <v>4</v>
      </c>
      <c r="B10" s="56" t="s">
        <v>9</v>
      </c>
      <c r="C10" s="6">
        <v>6138.68</v>
      </c>
      <c r="D10" s="6">
        <v>4909.99</v>
      </c>
      <c r="E10" s="45">
        <f t="shared" si="0"/>
        <v>11048.67</v>
      </c>
      <c r="F10" s="36"/>
      <c r="H10" s="3"/>
    </row>
    <row r="11" spans="1:8" ht="15.75">
      <c r="A11" s="55">
        <v>5</v>
      </c>
      <c r="B11" s="56" t="s">
        <v>10</v>
      </c>
      <c r="C11" s="6">
        <v>2805.46</v>
      </c>
      <c r="D11" s="6">
        <v>2244.37</v>
      </c>
      <c r="E11" s="45">
        <f t="shared" si="0"/>
        <v>5049.83</v>
      </c>
      <c r="F11" s="36"/>
      <c r="H11" s="3"/>
    </row>
    <row r="12" spans="1:8" ht="15.75">
      <c r="A12" s="55">
        <v>6</v>
      </c>
      <c r="B12" s="56" t="s">
        <v>11</v>
      </c>
      <c r="C12" s="6">
        <v>7913.47</v>
      </c>
      <c r="D12" s="6">
        <v>6330.61</v>
      </c>
      <c r="E12" s="45">
        <f t="shared" si="0"/>
        <v>14244.08</v>
      </c>
      <c r="F12" s="36"/>
      <c r="H12" s="3"/>
    </row>
    <row r="13" spans="1:8" ht="15.75">
      <c r="A13" s="55">
        <v>7</v>
      </c>
      <c r="B13" s="56" t="s">
        <v>59</v>
      </c>
      <c r="C13" s="6">
        <v>8057.5</v>
      </c>
      <c r="D13" s="6">
        <v>6446.89</v>
      </c>
      <c r="E13" s="45">
        <f t="shared" si="0"/>
        <v>14504.39</v>
      </c>
      <c r="F13" s="36"/>
      <c r="H13" s="3"/>
    </row>
    <row r="14" spans="1:8" ht="15.75">
      <c r="A14" s="55">
        <v>8</v>
      </c>
      <c r="B14" s="56" t="s">
        <v>12</v>
      </c>
      <c r="C14" s="6">
        <v>1062.57</v>
      </c>
      <c r="D14" s="6">
        <v>850.08</v>
      </c>
      <c r="E14" s="45">
        <f t="shared" si="0"/>
        <v>1912.65</v>
      </c>
      <c r="F14" s="36"/>
      <c r="H14" s="3"/>
    </row>
    <row r="15" spans="1:8" ht="15.75">
      <c r="A15" s="55">
        <v>9</v>
      </c>
      <c r="B15" s="56" t="s">
        <v>13</v>
      </c>
      <c r="C15" s="6">
        <v>3753.26</v>
      </c>
      <c r="D15" s="6">
        <v>3002.52</v>
      </c>
      <c r="E15" s="45">
        <f t="shared" si="0"/>
        <v>6755.780000000001</v>
      </c>
      <c r="F15" s="36"/>
      <c r="H15" s="3"/>
    </row>
    <row r="16" spans="1:8" ht="15.75">
      <c r="A16" s="55">
        <v>10</v>
      </c>
      <c r="B16" s="56" t="s">
        <v>14</v>
      </c>
      <c r="C16" s="6">
        <v>11772.08</v>
      </c>
      <c r="D16" s="6">
        <v>9418.47</v>
      </c>
      <c r="E16" s="45">
        <f t="shared" si="0"/>
        <v>21190.55</v>
      </c>
      <c r="F16" s="36"/>
      <c r="H16" s="3"/>
    </row>
    <row r="17" spans="1:8" ht="15.75">
      <c r="A17" s="55">
        <v>11</v>
      </c>
      <c r="B17" s="56" t="s">
        <v>15</v>
      </c>
      <c r="C17" s="6">
        <v>6084.5</v>
      </c>
      <c r="D17" s="6">
        <v>4867.59</v>
      </c>
      <c r="E17" s="45">
        <f t="shared" si="0"/>
        <v>10952.09</v>
      </c>
      <c r="F17" s="36"/>
      <c r="H17" s="3"/>
    </row>
    <row r="18" spans="1:8" ht="15.75">
      <c r="A18" s="55">
        <v>12</v>
      </c>
      <c r="B18" s="56" t="s">
        <v>16</v>
      </c>
      <c r="C18" s="6">
        <v>1425.46</v>
      </c>
      <c r="D18" s="6">
        <v>1140.45</v>
      </c>
      <c r="E18" s="45">
        <f t="shared" si="0"/>
        <v>2565.91</v>
      </c>
      <c r="F18" s="36"/>
      <c r="H18" s="3"/>
    </row>
    <row r="19" spans="1:8" ht="15.75">
      <c r="A19" s="55">
        <v>13</v>
      </c>
      <c r="B19" s="56" t="s">
        <v>17</v>
      </c>
      <c r="C19" s="6">
        <v>3384.72</v>
      </c>
      <c r="D19" s="6">
        <v>2708.13</v>
      </c>
      <c r="E19" s="45">
        <f t="shared" si="0"/>
        <v>6092.85</v>
      </c>
      <c r="F19" s="36"/>
      <c r="H19" s="3"/>
    </row>
    <row r="20" spans="1:8" ht="15.75">
      <c r="A20" s="55">
        <v>14</v>
      </c>
      <c r="B20" s="56" t="s">
        <v>18</v>
      </c>
      <c r="C20" s="6">
        <v>5079.43</v>
      </c>
      <c r="D20" s="6">
        <v>4063.83</v>
      </c>
      <c r="E20" s="45">
        <f t="shared" si="0"/>
        <v>9143.26</v>
      </c>
      <c r="F20" s="36"/>
      <c r="H20" s="3"/>
    </row>
    <row r="21" spans="1:8" ht="15.75">
      <c r="A21" s="55">
        <v>15</v>
      </c>
      <c r="B21" s="56" t="s">
        <v>19</v>
      </c>
      <c r="C21" s="6"/>
      <c r="D21" s="6"/>
      <c r="E21" s="45">
        <f t="shared" si="0"/>
        <v>0</v>
      </c>
      <c r="F21" s="36"/>
      <c r="H21" s="3"/>
    </row>
    <row r="22" spans="1:8" ht="15.75">
      <c r="A22" s="55">
        <v>16</v>
      </c>
      <c r="B22" s="56" t="s">
        <v>20</v>
      </c>
      <c r="C22" s="6">
        <v>933.2</v>
      </c>
      <c r="D22" s="6">
        <v>746.59</v>
      </c>
      <c r="E22" s="45">
        <f t="shared" si="0"/>
        <v>1679.79</v>
      </c>
      <c r="F22" s="36"/>
      <c r="H22" s="3"/>
    </row>
    <row r="23" spans="1:8" ht="15.75">
      <c r="A23" s="55">
        <v>17</v>
      </c>
      <c r="B23" s="56" t="s">
        <v>21</v>
      </c>
      <c r="C23" s="6">
        <v>2804.46</v>
      </c>
      <c r="D23" s="6">
        <v>2243.58</v>
      </c>
      <c r="E23" s="45">
        <f t="shared" si="0"/>
        <v>5048.04</v>
      </c>
      <c r="F23" s="36"/>
      <c r="H23" s="3"/>
    </row>
    <row r="24" spans="1:8" ht="15.75">
      <c r="A24" s="55">
        <v>18</v>
      </c>
      <c r="B24" s="56" t="s">
        <v>22</v>
      </c>
      <c r="C24" s="6">
        <v>7586.05</v>
      </c>
      <c r="D24" s="6">
        <v>6069.79</v>
      </c>
      <c r="E24" s="45">
        <f t="shared" si="0"/>
        <v>13655.84</v>
      </c>
      <c r="F24" s="36"/>
      <c r="H24" s="3"/>
    </row>
    <row r="25" spans="1:8" ht="15.75">
      <c r="A25" s="55">
        <v>19</v>
      </c>
      <c r="B25" s="56" t="s">
        <v>23</v>
      </c>
      <c r="C25" s="6">
        <v>890.05</v>
      </c>
      <c r="D25" s="6">
        <v>712.02</v>
      </c>
      <c r="E25" s="45">
        <f t="shared" si="0"/>
        <v>1602.07</v>
      </c>
      <c r="F25" s="36"/>
      <c r="H25" s="3"/>
    </row>
    <row r="26" spans="1:8" ht="15.75">
      <c r="A26" s="55">
        <v>20</v>
      </c>
      <c r="B26" s="56" t="s">
        <v>24</v>
      </c>
      <c r="C26" s="6">
        <v>3693.72</v>
      </c>
      <c r="D26" s="6">
        <v>2954.96</v>
      </c>
      <c r="E26" s="45">
        <f t="shared" si="0"/>
        <v>6648.68</v>
      </c>
      <c r="F26" s="36"/>
      <c r="H26" s="3"/>
    </row>
    <row r="27" spans="1:8" ht="15.75">
      <c r="A27" s="55">
        <v>21</v>
      </c>
      <c r="B27" s="56" t="s">
        <v>25</v>
      </c>
      <c r="C27" s="6">
        <v>6640.84</v>
      </c>
      <c r="D27" s="6">
        <v>5313.88</v>
      </c>
      <c r="E27" s="45">
        <f t="shared" si="0"/>
        <v>11954.720000000001</v>
      </c>
      <c r="F27" s="36"/>
      <c r="H27" s="3"/>
    </row>
    <row r="28" spans="1:8" ht="15.75">
      <c r="A28" s="55">
        <v>22</v>
      </c>
      <c r="B28" s="56" t="s">
        <v>26</v>
      </c>
      <c r="C28" s="6">
        <v>78.05</v>
      </c>
      <c r="D28" s="6">
        <v>62.43</v>
      </c>
      <c r="E28" s="45">
        <f t="shared" si="0"/>
        <v>140.48</v>
      </c>
      <c r="F28" s="36"/>
      <c r="H28" s="3"/>
    </row>
    <row r="29" spans="1:8" ht="15.75">
      <c r="A29" s="55">
        <v>23</v>
      </c>
      <c r="B29" s="56" t="s">
        <v>27</v>
      </c>
      <c r="C29" s="6">
        <v>2804.62</v>
      </c>
      <c r="D29" s="6">
        <v>2243.71</v>
      </c>
      <c r="E29" s="45">
        <f t="shared" si="0"/>
        <v>5048.33</v>
      </c>
      <c r="F29" s="36"/>
      <c r="H29" s="3"/>
    </row>
    <row r="30" spans="1:8" ht="15.75">
      <c r="A30" s="55">
        <v>24</v>
      </c>
      <c r="B30" s="56" t="s">
        <v>28</v>
      </c>
      <c r="C30" s="6">
        <v>2613.71</v>
      </c>
      <c r="D30" s="6">
        <v>2091.07</v>
      </c>
      <c r="E30" s="45">
        <f t="shared" si="0"/>
        <v>4704.780000000001</v>
      </c>
      <c r="F30" s="36"/>
      <c r="H30" s="3"/>
    </row>
    <row r="31" spans="1:8" ht="15.75">
      <c r="A31" s="55">
        <v>25</v>
      </c>
      <c r="B31" s="56" t="s">
        <v>29</v>
      </c>
      <c r="C31" s="6">
        <v>9279.72</v>
      </c>
      <c r="D31" s="6">
        <v>7423.89</v>
      </c>
      <c r="E31" s="45">
        <f t="shared" si="0"/>
        <v>16703.61</v>
      </c>
      <c r="F31" s="36"/>
      <c r="H31" s="3"/>
    </row>
    <row r="32" spans="1:8" ht="15.75">
      <c r="A32" s="55">
        <v>26</v>
      </c>
      <c r="B32" s="56" t="s">
        <v>30</v>
      </c>
      <c r="C32" s="6">
        <v>9360</v>
      </c>
      <c r="D32" s="6">
        <v>7488.57</v>
      </c>
      <c r="E32" s="45">
        <f t="shared" si="0"/>
        <v>16848.57</v>
      </c>
      <c r="F32" s="36"/>
      <c r="H32" s="3"/>
    </row>
    <row r="33" spans="1:8" ht="15.75">
      <c r="A33" s="55">
        <v>27</v>
      </c>
      <c r="B33" s="56" t="s">
        <v>40</v>
      </c>
      <c r="C33" s="6">
        <v>872.71</v>
      </c>
      <c r="D33" s="6">
        <v>698.24</v>
      </c>
      <c r="E33" s="45">
        <f t="shared" si="0"/>
        <v>1570.95</v>
      </c>
      <c r="F33" s="36"/>
      <c r="H33" s="3"/>
    </row>
    <row r="34" spans="1:8" ht="15.75">
      <c r="A34" s="55">
        <v>28</v>
      </c>
      <c r="B34" s="56" t="s">
        <v>41</v>
      </c>
      <c r="C34" s="6">
        <v>3415.92</v>
      </c>
      <c r="D34" s="6">
        <v>2733</v>
      </c>
      <c r="E34" s="45">
        <f t="shared" si="0"/>
        <v>6148.92</v>
      </c>
      <c r="F34" s="36"/>
      <c r="H34" s="3"/>
    </row>
    <row r="35" spans="1:8" ht="15.75">
      <c r="A35" s="55">
        <v>29</v>
      </c>
      <c r="B35" s="56" t="s">
        <v>42</v>
      </c>
      <c r="C35" s="6">
        <v>4523.68</v>
      </c>
      <c r="D35" s="6">
        <v>3619.17</v>
      </c>
      <c r="E35" s="45">
        <f t="shared" si="0"/>
        <v>8142.85</v>
      </c>
      <c r="F35" s="36"/>
      <c r="H35" s="3"/>
    </row>
    <row r="36" spans="1:8" ht="15.75">
      <c r="A36" s="55">
        <v>30</v>
      </c>
      <c r="B36" s="56" t="s">
        <v>44</v>
      </c>
      <c r="C36" s="6">
        <v>1679.93</v>
      </c>
      <c r="D36" s="6">
        <v>1343.9</v>
      </c>
      <c r="E36" s="45">
        <f t="shared" si="0"/>
        <v>3023.83</v>
      </c>
      <c r="F36" s="36"/>
      <c r="H36" s="3"/>
    </row>
    <row r="37" spans="1:8" ht="15.75">
      <c r="A37" s="55">
        <v>31</v>
      </c>
      <c r="B37" s="56" t="s">
        <v>45</v>
      </c>
      <c r="C37" s="6"/>
      <c r="D37" s="6"/>
      <c r="E37" s="45">
        <f t="shared" si="0"/>
        <v>0</v>
      </c>
      <c r="F37" s="36"/>
      <c r="H37" s="3"/>
    </row>
    <row r="38" spans="1:8" ht="15.75">
      <c r="A38" s="55">
        <v>32</v>
      </c>
      <c r="B38" s="56" t="s">
        <v>47</v>
      </c>
      <c r="C38" s="6">
        <v>2360.47</v>
      </c>
      <c r="D38" s="6">
        <v>1888.66</v>
      </c>
      <c r="E38" s="45">
        <f t="shared" si="0"/>
        <v>4249.13</v>
      </c>
      <c r="F38" s="36"/>
      <c r="H38" s="3"/>
    </row>
    <row r="39" spans="1:8" ht="15.75">
      <c r="A39" s="55">
        <v>33</v>
      </c>
      <c r="B39" s="56" t="s">
        <v>60</v>
      </c>
      <c r="C39" s="6">
        <v>105.18</v>
      </c>
      <c r="D39" s="6">
        <v>84.15</v>
      </c>
      <c r="E39" s="45">
        <f t="shared" si="0"/>
        <v>189.33</v>
      </c>
      <c r="F39" s="36"/>
      <c r="H39" s="3"/>
    </row>
    <row r="40" spans="1:8" ht="15.75">
      <c r="A40" s="55">
        <v>34</v>
      </c>
      <c r="B40" s="56" t="s">
        <v>61</v>
      </c>
      <c r="C40" s="6">
        <v>805.22</v>
      </c>
      <c r="D40" s="6">
        <v>644.23</v>
      </c>
      <c r="E40" s="45">
        <f t="shared" si="0"/>
        <v>1449.45</v>
      </c>
      <c r="F40" s="36"/>
      <c r="H40" s="3"/>
    </row>
    <row r="41" spans="1:8" ht="15.75">
      <c r="A41" s="57"/>
      <c r="B41" s="57" t="s">
        <v>31</v>
      </c>
      <c r="C41" s="69">
        <f>SUM(C7:C40)</f>
        <v>133107.68</v>
      </c>
      <c r="D41" s="69">
        <f>SUM(D7:D40)</f>
        <v>106486.51</v>
      </c>
      <c r="E41" s="45">
        <f t="shared" si="0"/>
        <v>239594.19</v>
      </c>
      <c r="F41" s="36"/>
      <c r="H41" s="3"/>
    </row>
    <row r="43" ht="12.75">
      <c r="D43" s="3"/>
    </row>
    <row r="44" ht="12.75">
      <c r="C44" s="3"/>
    </row>
    <row r="45" ht="12.75">
      <c r="E45" s="3"/>
    </row>
    <row r="51" ht="12.75">
      <c r="C51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49"/>
  <sheetViews>
    <sheetView workbookViewId="0" topLeftCell="A10">
      <selection activeCell="C45" sqref="C45"/>
    </sheetView>
  </sheetViews>
  <sheetFormatPr defaultColWidth="9.140625" defaultRowHeight="12.75"/>
  <cols>
    <col min="2" max="2" width="34.421875" style="0" customWidth="1"/>
    <col min="3" max="3" width="12.57421875" style="0" customWidth="1"/>
    <col min="4" max="5" width="13.140625" style="0" bestFit="1" customWidth="1"/>
  </cols>
  <sheetData>
    <row r="3" spans="1:7" ht="15">
      <c r="A3" s="73" t="s">
        <v>74</v>
      </c>
      <c r="B3" s="73"/>
      <c r="C3" s="73"/>
      <c r="D3" s="73"/>
      <c r="E3" s="73"/>
      <c r="F3" s="73"/>
      <c r="G3" s="73"/>
    </row>
    <row r="4" spans="1:7" ht="14.25">
      <c r="A4" s="36"/>
      <c r="B4" s="36"/>
      <c r="C4" s="38"/>
      <c r="D4" s="1"/>
      <c r="E4" s="1"/>
      <c r="F4" s="36"/>
      <c r="G4" s="36"/>
    </row>
    <row r="5" spans="1:7" ht="30">
      <c r="A5" s="50" t="s">
        <v>0</v>
      </c>
      <c r="B5" s="51" t="s">
        <v>1</v>
      </c>
      <c r="C5" s="43" t="s">
        <v>35</v>
      </c>
      <c r="D5" s="1"/>
      <c r="E5" s="1"/>
      <c r="F5" s="36"/>
      <c r="G5" s="36"/>
    </row>
    <row r="6" spans="1:7" ht="15.75">
      <c r="A6" s="55">
        <v>1</v>
      </c>
      <c r="B6" s="56" t="s">
        <v>6</v>
      </c>
      <c r="C6" s="70">
        <v>28352.53</v>
      </c>
      <c r="D6" s="1"/>
      <c r="E6" s="1"/>
      <c r="F6" s="36"/>
      <c r="G6" s="36"/>
    </row>
    <row r="7" spans="1:7" ht="15.75">
      <c r="A7" s="55">
        <v>2</v>
      </c>
      <c r="B7" s="56" t="s">
        <v>7</v>
      </c>
      <c r="C7" s="70">
        <v>22986.64</v>
      </c>
      <c r="D7" s="1"/>
      <c r="E7" s="1"/>
      <c r="F7" s="36"/>
      <c r="G7" s="36"/>
    </row>
    <row r="8" spans="1:7" ht="15.75">
      <c r="A8" s="55">
        <v>3</v>
      </c>
      <c r="B8" s="56" t="s">
        <v>8</v>
      </c>
      <c r="C8" s="70">
        <v>11490.84</v>
      </c>
      <c r="D8" s="1"/>
      <c r="E8" s="1"/>
      <c r="F8" s="36"/>
      <c r="G8" s="36"/>
    </row>
    <row r="9" spans="1:7" ht="15.75">
      <c r="A9" s="55">
        <v>4</v>
      </c>
      <c r="B9" s="56" t="s">
        <v>9</v>
      </c>
      <c r="C9" s="70">
        <v>2176.51</v>
      </c>
      <c r="D9" s="1"/>
      <c r="E9" s="1"/>
      <c r="F9" s="36"/>
      <c r="G9" s="36"/>
    </row>
    <row r="10" spans="1:7" ht="15.75">
      <c r="A10" s="55">
        <v>5</v>
      </c>
      <c r="B10" s="56" t="s">
        <v>10</v>
      </c>
      <c r="C10" s="70">
        <v>37593.39</v>
      </c>
      <c r="D10" s="1"/>
      <c r="E10" s="1"/>
      <c r="F10" s="36"/>
      <c r="G10" s="36"/>
    </row>
    <row r="11" spans="1:7" ht="15.75">
      <c r="A11" s="55">
        <v>6</v>
      </c>
      <c r="B11" s="56" t="s">
        <v>11</v>
      </c>
      <c r="C11" s="70">
        <v>75991.19</v>
      </c>
      <c r="D11" s="1"/>
      <c r="E11" s="1"/>
      <c r="F11" s="36"/>
      <c r="G11" s="36"/>
    </row>
    <row r="12" spans="1:7" ht="15.75">
      <c r="A12" s="55">
        <v>7</v>
      </c>
      <c r="B12" s="56" t="s">
        <v>59</v>
      </c>
      <c r="C12" s="70">
        <v>23153.56</v>
      </c>
      <c r="D12" s="1"/>
      <c r="E12" s="1"/>
      <c r="F12" s="36"/>
      <c r="G12" s="36"/>
    </row>
    <row r="13" spans="1:7" ht="15.75">
      <c r="A13" s="55">
        <v>8</v>
      </c>
      <c r="B13" s="56" t="s">
        <v>12</v>
      </c>
      <c r="C13" s="70">
        <v>31672.62</v>
      </c>
      <c r="D13" s="1"/>
      <c r="E13" s="1"/>
      <c r="F13" s="36"/>
      <c r="G13" s="36"/>
    </row>
    <row r="14" spans="1:7" ht="15.75">
      <c r="A14" s="55">
        <v>9</v>
      </c>
      <c r="B14" s="56" t="s">
        <v>13</v>
      </c>
      <c r="C14" s="70">
        <v>19124.42</v>
      </c>
      <c r="D14" s="1"/>
      <c r="E14" s="1"/>
      <c r="F14" s="36"/>
      <c r="G14" s="36"/>
    </row>
    <row r="15" spans="1:7" ht="15.75">
      <c r="A15" s="55">
        <v>10</v>
      </c>
      <c r="B15" s="56" t="s">
        <v>14</v>
      </c>
      <c r="C15" s="70">
        <v>34099.63</v>
      </c>
      <c r="D15" s="1"/>
      <c r="E15" s="1"/>
      <c r="F15" s="36"/>
      <c r="G15" s="36"/>
    </row>
    <row r="16" spans="1:7" ht="15.75">
      <c r="A16" s="55">
        <v>11</v>
      </c>
      <c r="B16" s="56" t="s">
        <v>15</v>
      </c>
      <c r="C16" s="70">
        <v>23038.16</v>
      </c>
      <c r="D16" s="1"/>
      <c r="E16" s="1"/>
      <c r="F16" s="36"/>
      <c r="G16" s="36"/>
    </row>
    <row r="17" spans="1:7" ht="15.75">
      <c r="A17" s="55">
        <v>12</v>
      </c>
      <c r="B17" s="56" t="s">
        <v>16</v>
      </c>
      <c r="C17" s="70">
        <v>2769.69</v>
      </c>
      <c r="D17" s="1"/>
      <c r="E17" s="1"/>
      <c r="F17" s="36"/>
      <c r="G17" s="36"/>
    </row>
    <row r="18" spans="1:7" ht="15.75">
      <c r="A18" s="55">
        <v>13</v>
      </c>
      <c r="B18" s="56" t="s">
        <v>17</v>
      </c>
      <c r="C18" s="70">
        <v>15631.33</v>
      </c>
      <c r="D18" s="1"/>
      <c r="E18" s="1"/>
      <c r="F18" s="36"/>
      <c r="G18" s="36"/>
    </row>
    <row r="19" spans="1:7" ht="15.75">
      <c r="A19" s="55">
        <v>14</v>
      </c>
      <c r="B19" s="56" t="s">
        <v>18</v>
      </c>
      <c r="C19" s="70">
        <v>1235.22</v>
      </c>
      <c r="D19" s="1"/>
      <c r="E19" s="1"/>
      <c r="F19" s="36"/>
      <c r="G19" s="36"/>
    </row>
    <row r="20" spans="1:7" ht="15.75">
      <c r="A20" s="55">
        <v>15</v>
      </c>
      <c r="B20" s="56" t="s">
        <v>19</v>
      </c>
      <c r="C20" s="70"/>
      <c r="D20" s="1"/>
      <c r="E20" s="1"/>
      <c r="F20" s="36"/>
      <c r="G20" s="36"/>
    </row>
    <row r="21" spans="1:7" ht="15.75">
      <c r="A21" s="55">
        <v>16</v>
      </c>
      <c r="B21" s="56" t="s">
        <v>20</v>
      </c>
      <c r="C21" s="70">
        <v>2783.26</v>
      </c>
      <c r="D21" s="1"/>
      <c r="E21" s="1"/>
      <c r="F21" s="36"/>
      <c r="G21" s="36"/>
    </row>
    <row r="22" spans="1:7" ht="15.75">
      <c r="A22" s="55">
        <v>17</v>
      </c>
      <c r="B22" s="56" t="s">
        <v>21</v>
      </c>
      <c r="C22" s="70">
        <v>6333.7</v>
      </c>
      <c r="D22" s="1"/>
      <c r="E22" s="1"/>
      <c r="F22" s="36"/>
      <c r="G22" s="36"/>
    </row>
    <row r="23" spans="1:7" ht="15.75">
      <c r="A23" s="55">
        <v>18</v>
      </c>
      <c r="B23" s="56" t="s">
        <v>22</v>
      </c>
      <c r="C23" s="70">
        <v>23345.12</v>
      </c>
      <c r="D23" s="1"/>
      <c r="E23" s="1"/>
      <c r="F23" s="36"/>
      <c r="G23" s="36"/>
    </row>
    <row r="24" spans="1:7" ht="15.75">
      <c r="A24" s="55">
        <v>19</v>
      </c>
      <c r="B24" s="56" t="s">
        <v>23</v>
      </c>
      <c r="C24" s="70">
        <v>549.18</v>
      </c>
      <c r="D24" s="1"/>
      <c r="E24" s="1"/>
      <c r="F24" s="36"/>
      <c r="G24" s="36"/>
    </row>
    <row r="25" spans="1:7" ht="15.75">
      <c r="A25" s="55">
        <v>20</v>
      </c>
      <c r="B25" s="56" t="s">
        <v>24</v>
      </c>
      <c r="C25" s="70">
        <v>3858.46</v>
      </c>
      <c r="D25" s="1"/>
      <c r="E25" s="1"/>
      <c r="F25" s="36"/>
      <c r="G25" s="36"/>
    </row>
    <row r="26" spans="1:7" ht="15.75">
      <c r="A26" s="55">
        <v>21</v>
      </c>
      <c r="B26" s="56" t="s">
        <v>25</v>
      </c>
      <c r="C26" s="70">
        <v>41249.29</v>
      </c>
      <c r="D26" s="1"/>
      <c r="E26" s="1"/>
      <c r="F26" s="36"/>
      <c r="G26" s="36"/>
    </row>
    <row r="27" spans="1:7" ht="15.75">
      <c r="A27" s="55">
        <v>22</v>
      </c>
      <c r="B27" s="56" t="s">
        <v>26</v>
      </c>
      <c r="C27" s="70">
        <v>4692.59</v>
      </c>
      <c r="D27" s="1"/>
      <c r="E27" s="1"/>
      <c r="F27" s="36"/>
      <c r="G27" s="36"/>
    </row>
    <row r="28" spans="1:7" ht="15.75">
      <c r="A28" s="55">
        <v>23</v>
      </c>
      <c r="B28" s="56" t="s">
        <v>27</v>
      </c>
      <c r="C28" s="70">
        <v>10033.19</v>
      </c>
      <c r="D28" s="1"/>
      <c r="E28" s="1"/>
      <c r="F28" s="36"/>
      <c r="G28" s="36"/>
    </row>
    <row r="29" spans="1:7" ht="15.75">
      <c r="A29" s="55">
        <v>24</v>
      </c>
      <c r="B29" s="56" t="s">
        <v>28</v>
      </c>
      <c r="C29" s="70">
        <v>5803.82</v>
      </c>
      <c r="D29" s="1"/>
      <c r="E29" s="1"/>
      <c r="F29" s="36"/>
      <c r="G29" s="36"/>
    </row>
    <row r="30" spans="1:7" ht="15.75">
      <c r="A30" s="55">
        <v>25</v>
      </c>
      <c r="B30" s="56" t="s">
        <v>29</v>
      </c>
      <c r="C30" s="70">
        <v>12479.62</v>
      </c>
      <c r="D30" s="1"/>
      <c r="E30" s="1"/>
      <c r="F30" s="36"/>
      <c r="G30" s="36"/>
    </row>
    <row r="31" spans="1:7" ht="15.75">
      <c r="A31" s="55">
        <v>26</v>
      </c>
      <c r="B31" s="56" t="s">
        <v>30</v>
      </c>
      <c r="C31" s="70">
        <v>8288.71</v>
      </c>
      <c r="D31" s="1"/>
      <c r="E31" s="1"/>
      <c r="F31" s="36"/>
      <c r="G31" s="36"/>
    </row>
    <row r="32" spans="1:7" ht="15.75">
      <c r="A32" s="55">
        <v>27</v>
      </c>
      <c r="B32" s="56" t="s">
        <v>40</v>
      </c>
      <c r="C32" s="70">
        <v>2179.16</v>
      </c>
      <c r="D32" s="1"/>
      <c r="E32" s="1"/>
      <c r="F32" s="36"/>
      <c r="G32" s="36"/>
    </row>
    <row r="33" spans="1:7" ht="15.75">
      <c r="A33" s="55">
        <v>28</v>
      </c>
      <c r="B33" s="56" t="s">
        <v>41</v>
      </c>
      <c r="C33" s="70">
        <v>10988.84</v>
      </c>
      <c r="D33" s="1"/>
      <c r="E33" s="1"/>
      <c r="F33" s="36"/>
      <c r="G33" s="36"/>
    </row>
    <row r="34" spans="1:7" ht="15.75">
      <c r="A34" s="55">
        <v>29</v>
      </c>
      <c r="B34" s="56" t="s">
        <v>42</v>
      </c>
      <c r="C34" s="70">
        <v>3596.56</v>
      </c>
      <c r="D34" s="1"/>
      <c r="E34" s="1"/>
      <c r="F34" s="36"/>
      <c r="G34" s="36"/>
    </row>
    <row r="35" spans="1:7" ht="15.75">
      <c r="A35" s="55">
        <v>30</v>
      </c>
      <c r="B35" s="56" t="s">
        <v>44</v>
      </c>
      <c r="C35" s="70">
        <v>599.13</v>
      </c>
      <c r="D35" s="1"/>
      <c r="E35" s="1"/>
      <c r="F35" s="36"/>
      <c r="G35" s="36"/>
    </row>
    <row r="36" spans="1:7" ht="15.75">
      <c r="A36" s="55">
        <v>31</v>
      </c>
      <c r="B36" s="56" t="s">
        <v>45</v>
      </c>
      <c r="C36" s="70"/>
      <c r="D36" s="1"/>
      <c r="E36" s="1"/>
      <c r="F36" s="36"/>
      <c r="G36" s="36"/>
    </row>
    <row r="37" spans="1:7" ht="15.75">
      <c r="A37" s="55">
        <v>32</v>
      </c>
      <c r="B37" s="56" t="s">
        <v>47</v>
      </c>
      <c r="C37" s="70">
        <v>2467.67</v>
      </c>
      <c r="D37" s="1"/>
      <c r="E37" s="1"/>
      <c r="F37" s="36"/>
      <c r="G37" s="36"/>
    </row>
    <row r="38" spans="1:7" ht="15.75">
      <c r="A38" s="55">
        <v>33</v>
      </c>
      <c r="B38" s="56" t="s">
        <v>60</v>
      </c>
      <c r="C38" s="70">
        <v>517.75</v>
      </c>
      <c r="D38" s="1"/>
      <c r="E38" s="1"/>
      <c r="F38" s="36"/>
      <c r="G38" s="36"/>
    </row>
    <row r="39" spans="1:7" ht="15.75">
      <c r="A39" s="55">
        <v>34</v>
      </c>
      <c r="B39" s="56" t="s">
        <v>61</v>
      </c>
      <c r="C39" s="70">
        <v>2070.14</v>
      </c>
      <c r="D39" s="1"/>
      <c r="E39" s="1"/>
      <c r="F39" s="36"/>
      <c r="G39" s="36"/>
    </row>
    <row r="40" spans="1:7" ht="15.75">
      <c r="A40" s="57"/>
      <c r="B40" s="57" t="s">
        <v>31</v>
      </c>
      <c r="C40" s="7">
        <f>SUM(C6:C39)</f>
        <v>471151.92000000004</v>
      </c>
      <c r="D40" s="1"/>
      <c r="E40" s="1"/>
      <c r="F40" s="36"/>
      <c r="G40" s="36"/>
    </row>
    <row r="41" spans="1:7" ht="14.25">
      <c r="A41" s="36"/>
      <c r="B41" s="36"/>
      <c r="C41" s="38"/>
      <c r="D41" s="1"/>
      <c r="E41" s="1"/>
      <c r="F41" s="36"/>
      <c r="G41" s="36"/>
    </row>
    <row r="42" spans="1:7" ht="14.25">
      <c r="A42" s="36"/>
      <c r="B42" s="36"/>
      <c r="C42" s="38"/>
      <c r="D42" s="1"/>
      <c r="E42" s="36"/>
      <c r="F42" s="36"/>
      <c r="G42" s="36"/>
    </row>
    <row r="43" ht="12.75">
      <c r="C43" s="3"/>
    </row>
    <row r="44" spans="2:4" ht="12.75">
      <c r="B44" s="3"/>
      <c r="C44" s="3"/>
      <c r="D44" s="5"/>
    </row>
    <row r="45" spans="3:4" ht="12.75">
      <c r="C45" s="3"/>
      <c r="D45" s="3"/>
    </row>
    <row r="46" spans="3:4" ht="12.75">
      <c r="C46" s="3"/>
      <c r="D46" s="3"/>
    </row>
    <row r="48" spans="3:4" ht="12.75">
      <c r="C48" s="3"/>
      <c r="D48" s="3"/>
    </row>
    <row r="49" ht="12.75">
      <c r="D49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H41"/>
  <sheetViews>
    <sheetView workbookViewId="0" topLeftCell="A10">
      <selection activeCell="D42" sqref="D42"/>
    </sheetView>
  </sheetViews>
  <sheetFormatPr defaultColWidth="9.140625" defaultRowHeight="12.75"/>
  <cols>
    <col min="2" max="2" width="31.57421875" style="0" customWidth="1"/>
    <col min="3" max="3" width="13.7109375" style="0" customWidth="1"/>
  </cols>
  <sheetData>
    <row r="4" spans="1:8" ht="12.75" customHeight="1">
      <c r="A4" s="74" t="s">
        <v>75</v>
      </c>
      <c r="B4" s="74"/>
      <c r="C4" s="74"/>
      <c r="D4" s="74"/>
      <c r="E4" s="74"/>
      <c r="F4" s="74"/>
      <c r="G4" s="74"/>
      <c r="H4" s="74"/>
    </row>
    <row r="5" spans="1:8" ht="14.25">
      <c r="A5" s="36"/>
      <c r="B5" s="36"/>
      <c r="C5" s="36"/>
      <c r="D5" s="39"/>
      <c r="E5" s="36"/>
      <c r="F5" s="36"/>
      <c r="G5" s="36"/>
      <c r="H5" s="36"/>
    </row>
    <row r="6" spans="1:8" ht="30">
      <c r="A6" s="50" t="s">
        <v>0</v>
      </c>
      <c r="B6" s="51" t="s">
        <v>1</v>
      </c>
      <c r="C6" s="43" t="s">
        <v>65</v>
      </c>
      <c r="D6" s="39"/>
      <c r="E6" s="36"/>
      <c r="F6" s="36"/>
      <c r="G6" s="36"/>
      <c r="H6" s="36"/>
    </row>
    <row r="7" spans="1:8" ht="15.75">
      <c r="A7" s="55">
        <v>1</v>
      </c>
      <c r="B7" s="56" t="s">
        <v>6</v>
      </c>
      <c r="C7" s="6">
        <v>22350.47</v>
      </c>
      <c r="D7" s="36"/>
      <c r="E7" s="36"/>
      <c r="F7" s="36"/>
      <c r="G7" s="36"/>
      <c r="H7" s="36"/>
    </row>
    <row r="8" spans="1:8" ht="15.75">
      <c r="A8" s="55">
        <v>2</v>
      </c>
      <c r="B8" s="56" t="s">
        <v>7</v>
      </c>
      <c r="C8" s="6">
        <v>888.97</v>
      </c>
      <c r="D8" s="36"/>
      <c r="E8" s="36"/>
      <c r="F8" s="36"/>
      <c r="G8" s="36"/>
      <c r="H8" s="36"/>
    </row>
    <row r="9" spans="1:3" ht="15.75">
      <c r="A9" s="55">
        <v>3</v>
      </c>
      <c r="B9" s="56" t="s">
        <v>8</v>
      </c>
      <c r="C9" s="67"/>
    </row>
    <row r="10" spans="1:3" ht="15.75">
      <c r="A10" s="55">
        <v>4</v>
      </c>
      <c r="B10" s="56" t="s">
        <v>9</v>
      </c>
      <c r="C10" s="67">
        <v>533.61</v>
      </c>
    </row>
    <row r="11" spans="1:3" ht="15.75">
      <c r="A11" s="55">
        <v>5</v>
      </c>
      <c r="B11" s="56" t="s">
        <v>10</v>
      </c>
      <c r="C11" s="67">
        <v>1695.2</v>
      </c>
    </row>
    <row r="12" spans="1:3" ht="15.75">
      <c r="A12" s="55">
        <v>6</v>
      </c>
      <c r="B12" s="56" t="s">
        <v>11</v>
      </c>
      <c r="C12" s="67">
        <v>14102.21</v>
      </c>
    </row>
    <row r="13" spans="1:3" ht="15.75">
      <c r="A13" s="55">
        <v>7</v>
      </c>
      <c r="B13" s="56" t="s">
        <v>59</v>
      </c>
      <c r="C13" s="67">
        <v>6911.16</v>
      </c>
    </row>
    <row r="14" spans="1:3" ht="15.75">
      <c r="A14" s="55">
        <v>8</v>
      </c>
      <c r="B14" s="56" t="s">
        <v>12</v>
      </c>
      <c r="C14" s="67">
        <v>21615.81</v>
      </c>
    </row>
    <row r="15" spans="1:3" ht="15.75">
      <c r="A15" s="55">
        <v>9</v>
      </c>
      <c r="B15" s="56" t="s">
        <v>13</v>
      </c>
      <c r="C15" s="67">
        <v>14460.12</v>
      </c>
    </row>
    <row r="16" spans="1:3" ht="15.75">
      <c r="A16" s="55">
        <v>10</v>
      </c>
      <c r="B16" s="56" t="s">
        <v>14</v>
      </c>
      <c r="C16" s="67">
        <v>12390.81</v>
      </c>
    </row>
    <row r="17" spans="1:3" ht="15.75">
      <c r="A17" s="55">
        <v>11</v>
      </c>
      <c r="B17" s="56" t="s">
        <v>15</v>
      </c>
      <c r="C17" s="67">
        <v>9402.63</v>
      </c>
    </row>
    <row r="18" spans="1:3" ht="15.75">
      <c r="A18" s="55">
        <v>12</v>
      </c>
      <c r="B18" s="56" t="s">
        <v>16</v>
      </c>
      <c r="C18" s="67">
        <v>1618.74</v>
      </c>
    </row>
    <row r="19" spans="1:3" ht="15.75">
      <c r="A19" s="55">
        <v>13</v>
      </c>
      <c r="B19" s="56" t="s">
        <v>17</v>
      </c>
      <c r="C19" s="67">
        <v>12853.21</v>
      </c>
    </row>
    <row r="20" spans="1:3" ht="15.75">
      <c r="A20" s="55">
        <v>14</v>
      </c>
      <c r="B20" s="56" t="s">
        <v>18</v>
      </c>
      <c r="C20" s="67"/>
    </row>
    <row r="21" spans="1:3" ht="15.75">
      <c r="A21" s="55">
        <v>15</v>
      </c>
      <c r="B21" s="56" t="s">
        <v>19</v>
      </c>
      <c r="C21" s="67"/>
    </row>
    <row r="22" spans="1:3" ht="15.75">
      <c r="A22" s="55">
        <v>16</v>
      </c>
      <c r="B22" s="56" t="s">
        <v>20</v>
      </c>
      <c r="C22" s="67"/>
    </row>
    <row r="23" spans="1:3" ht="15.75">
      <c r="A23" s="55">
        <v>17</v>
      </c>
      <c r="B23" s="56" t="s">
        <v>21</v>
      </c>
      <c r="C23" s="67">
        <v>4447.52</v>
      </c>
    </row>
    <row r="24" spans="1:3" ht="15.75">
      <c r="A24" s="55">
        <v>18</v>
      </c>
      <c r="B24" s="56" t="s">
        <v>22</v>
      </c>
      <c r="C24" s="67">
        <v>6867.55</v>
      </c>
    </row>
    <row r="25" spans="1:3" ht="15.75">
      <c r="A25" s="55">
        <v>19</v>
      </c>
      <c r="B25" s="56" t="s">
        <v>23</v>
      </c>
      <c r="C25" s="67">
        <v>1000.02</v>
      </c>
    </row>
    <row r="26" spans="1:3" ht="15.75">
      <c r="A26" s="55">
        <v>20</v>
      </c>
      <c r="B26" s="56" t="s">
        <v>24</v>
      </c>
      <c r="C26" s="67"/>
    </row>
    <row r="27" spans="1:3" ht="15.75">
      <c r="A27" s="55">
        <v>21</v>
      </c>
      <c r="B27" s="56" t="s">
        <v>25</v>
      </c>
      <c r="C27" s="67">
        <v>1935.44</v>
      </c>
    </row>
    <row r="28" spans="1:3" ht="15.75">
      <c r="A28" s="55">
        <v>22</v>
      </c>
      <c r="B28" s="56" t="s">
        <v>26</v>
      </c>
      <c r="C28" s="67">
        <v>3955.39</v>
      </c>
    </row>
    <row r="29" spans="1:3" ht="15.75">
      <c r="A29" s="55">
        <v>23</v>
      </c>
      <c r="B29" s="56" t="s">
        <v>27</v>
      </c>
      <c r="C29" s="67">
        <v>861.54</v>
      </c>
    </row>
    <row r="30" spans="1:3" ht="15.75">
      <c r="A30" s="55">
        <v>24</v>
      </c>
      <c r="B30" s="56" t="s">
        <v>28</v>
      </c>
      <c r="C30" s="67"/>
    </row>
    <row r="31" spans="1:3" ht="15.75">
      <c r="A31" s="55">
        <v>25</v>
      </c>
      <c r="B31" s="56" t="s">
        <v>29</v>
      </c>
      <c r="C31" s="67">
        <v>9289.2</v>
      </c>
    </row>
    <row r="32" spans="1:3" ht="15.75">
      <c r="A32" s="55">
        <v>26</v>
      </c>
      <c r="B32" s="56" t="s">
        <v>30</v>
      </c>
      <c r="C32" s="67"/>
    </row>
    <row r="33" spans="1:3" ht="15.75">
      <c r="A33" s="55">
        <v>27</v>
      </c>
      <c r="B33" s="56" t="s">
        <v>40</v>
      </c>
      <c r="C33" s="67"/>
    </row>
    <row r="34" spans="1:3" ht="15.75">
      <c r="A34" s="55">
        <v>28</v>
      </c>
      <c r="B34" s="56" t="s">
        <v>41</v>
      </c>
      <c r="C34" s="67">
        <v>4860.35</v>
      </c>
    </row>
    <row r="35" spans="1:3" ht="15.75">
      <c r="A35" s="55">
        <v>29</v>
      </c>
      <c r="B35" s="56" t="s">
        <v>42</v>
      </c>
      <c r="C35" s="67">
        <v>5142.42</v>
      </c>
    </row>
    <row r="36" spans="1:3" ht="15.75">
      <c r="A36" s="55">
        <v>30</v>
      </c>
      <c r="B36" s="56" t="s">
        <v>44</v>
      </c>
      <c r="C36" s="67"/>
    </row>
    <row r="37" spans="1:3" ht="15.75">
      <c r="A37" s="55">
        <v>31</v>
      </c>
      <c r="B37" s="56" t="s">
        <v>45</v>
      </c>
      <c r="C37" s="67"/>
    </row>
    <row r="38" spans="1:3" ht="15.75">
      <c r="A38" s="55">
        <v>32</v>
      </c>
      <c r="B38" s="56" t="s">
        <v>47</v>
      </c>
      <c r="C38" s="67"/>
    </row>
    <row r="39" spans="1:3" ht="15.75">
      <c r="A39" s="55">
        <v>33</v>
      </c>
      <c r="B39" s="56" t="s">
        <v>60</v>
      </c>
      <c r="C39" s="67"/>
    </row>
    <row r="40" spans="1:3" ht="15.75">
      <c r="A40" s="55">
        <v>34</v>
      </c>
      <c r="B40" s="56" t="s">
        <v>61</v>
      </c>
      <c r="C40" s="67"/>
    </row>
    <row r="41" spans="1:3" ht="15.75">
      <c r="A41" s="57"/>
      <c r="B41" s="57" t="s">
        <v>31</v>
      </c>
      <c r="C41" s="68">
        <f>SUM(C7:C40)</f>
        <v>157182.37000000005</v>
      </c>
    </row>
  </sheetData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2"/>
  <sheetViews>
    <sheetView workbookViewId="0" topLeftCell="A1">
      <selection activeCell="E26" sqref="E26"/>
    </sheetView>
  </sheetViews>
  <sheetFormatPr defaultColWidth="9.140625" defaultRowHeight="12.75"/>
  <cols>
    <col min="2" max="2" width="31.28125" style="0" customWidth="1"/>
    <col min="3" max="3" width="13.7109375" style="0" customWidth="1"/>
    <col min="4" max="4" width="13.140625" style="0" bestFit="1" customWidth="1"/>
    <col min="5" max="5" width="16.140625" style="0" bestFit="1" customWidth="1"/>
  </cols>
  <sheetData>
    <row r="3" spans="1:7" ht="12.75" customHeight="1">
      <c r="A3" s="74" t="s">
        <v>76</v>
      </c>
      <c r="B3" s="74"/>
      <c r="C3" s="74"/>
      <c r="D3" s="74"/>
      <c r="E3" s="74"/>
      <c r="F3" s="74"/>
      <c r="G3" s="74"/>
    </row>
    <row r="4" spans="1:7" ht="15">
      <c r="A4" s="75"/>
      <c r="B4" s="75"/>
      <c r="C4" s="41" t="s">
        <v>36</v>
      </c>
      <c r="D4" s="1"/>
      <c r="E4" s="36"/>
      <c r="F4" s="36"/>
      <c r="G4" s="36"/>
    </row>
    <row r="5" spans="1:7" ht="15.75">
      <c r="A5" s="50" t="s">
        <v>0</v>
      </c>
      <c r="B5" s="51" t="s">
        <v>1</v>
      </c>
      <c r="C5" s="42" t="s">
        <v>37</v>
      </c>
      <c r="D5" s="42" t="s">
        <v>38</v>
      </c>
      <c r="E5" s="43" t="s">
        <v>39</v>
      </c>
      <c r="F5" s="36"/>
      <c r="G5" s="36"/>
    </row>
    <row r="6" spans="1:7" ht="15.75">
      <c r="A6" s="55">
        <v>1</v>
      </c>
      <c r="B6" s="56" t="s">
        <v>6</v>
      </c>
      <c r="C6" s="6">
        <v>25847.86</v>
      </c>
      <c r="D6" s="6">
        <v>59614.11</v>
      </c>
      <c r="E6" s="7">
        <f>C6+D6</f>
        <v>85461.97</v>
      </c>
      <c r="F6" s="36"/>
      <c r="G6" s="36"/>
    </row>
    <row r="7" spans="1:7" ht="15.75">
      <c r="A7" s="55">
        <v>2</v>
      </c>
      <c r="B7" s="56" t="s">
        <v>7</v>
      </c>
      <c r="C7" s="6">
        <f>1579.11+3246.34</f>
        <v>4825.45</v>
      </c>
      <c r="D7" s="6">
        <f>4206.76+7247.46</f>
        <v>11454.220000000001</v>
      </c>
      <c r="E7" s="7">
        <f aca="true" t="shared" si="0" ref="E7:E40">C7+D7</f>
        <v>16279.670000000002</v>
      </c>
      <c r="F7" s="36"/>
      <c r="G7" s="36"/>
    </row>
    <row r="8" spans="1:7" ht="15.75">
      <c r="A8" s="55">
        <v>3</v>
      </c>
      <c r="B8" s="56" t="s">
        <v>8</v>
      </c>
      <c r="C8" s="6">
        <v>17.82</v>
      </c>
      <c r="D8" s="6">
        <v>413.69</v>
      </c>
      <c r="E8" s="7">
        <f t="shared" si="0"/>
        <v>431.51</v>
      </c>
      <c r="F8" s="36"/>
      <c r="G8" s="36"/>
    </row>
    <row r="9" spans="1:7" ht="15.75">
      <c r="A9" s="55">
        <v>4</v>
      </c>
      <c r="B9" s="56" t="s">
        <v>9</v>
      </c>
      <c r="C9" s="6">
        <v>1450.65</v>
      </c>
      <c r="D9" s="6">
        <v>5321.62</v>
      </c>
      <c r="E9" s="7">
        <f t="shared" si="0"/>
        <v>6772.27</v>
      </c>
      <c r="F9" s="36"/>
      <c r="G9" s="36"/>
    </row>
    <row r="10" spans="1:7" ht="15.75">
      <c r="A10" s="55">
        <v>5</v>
      </c>
      <c r="B10" s="56" t="s">
        <v>10</v>
      </c>
      <c r="C10" s="6">
        <v>12007.87</v>
      </c>
      <c r="D10" s="6">
        <v>18949.19</v>
      </c>
      <c r="E10" s="7">
        <f t="shared" si="0"/>
        <v>30957.059999999998</v>
      </c>
      <c r="F10" s="36"/>
      <c r="G10" s="36"/>
    </row>
    <row r="11" spans="1:7" ht="15.75">
      <c r="A11" s="55">
        <v>6</v>
      </c>
      <c r="B11" s="56" t="s">
        <v>11</v>
      </c>
      <c r="C11" s="6">
        <f>11464.31+5300.38+4876.54</f>
        <v>21641.23</v>
      </c>
      <c r="D11" s="6">
        <f>31712.8+15652.02+15105.74</f>
        <v>62470.56</v>
      </c>
      <c r="E11" s="7">
        <f t="shared" si="0"/>
        <v>84111.79</v>
      </c>
      <c r="F11" s="36"/>
      <c r="G11" s="36"/>
    </row>
    <row r="12" spans="1:7" ht="15.75">
      <c r="A12" s="55">
        <v>7</v>
      </c>
      <c r="B12" s="56" t="s">
        <v>59</v>
      </c>
      <c r="C12" s="6">
        <f>243.27+4661.5+679.2+1010.77+1603.74+126.57+2123.27</f>
        <v>10448.32</v>
      </c>
      <c r="D12" s="6">
        <f>804.91+9870.13+1921.48+2803.49+3308.06+3492.53+4199.61</f>
        <v>26400.21</v>
      </c>
      <c r="E12" s="7">
        <f t="shared" si="0"/>
        <v>36848.53</v>
      </c>
      <c r="F12" s="36"/>
      <c r="G12" s="36"/>
    </row>
    <row r="13" spans="1:7" ht="15.75">
      <c r="A13" s="55">
        <v>8</v>
      </c>
      <c r="B13" s="56" t="s">
        <v>12</v>
      </c>
      <c r="C13" s="6">
        <v>40852.24</v>
      </c>
      <c r="D13" s="6">
        <v>79442.68</v>
      </c>
      <c r="E13" s="7">
        <f t="shared" si="0"/>
        <v>120294.91999999998</v>
      </c>
      <c r="F13" s="36"/>
      <c r="G13" s="36"/>
    </row>
    <row r="14" spans="1:7" ht="15.75">
      <c r="A14" s="55">
        <v>9</v>
      </c>
      <c r="B14" s="56" t="s">
        <v>13</v>
      </c>
      <c r="C14" s="6">
        <f>15760.7+2160.5</f>
        <v>17921.2</v>
      </c>
      <c r="D14" s="6">
        <f>34734.99+9651.25</f>
        <v>44386.24</v>
      </c>
      <c r="E14" s="7">
        <f t="shared" si="0"/>
        <v>62307.44</v>
      </c>
      <c r="F14" s="36"/>
      <c r="G14" s="36"/>
    </row>
    <row r="15" spans="1:7" ht="15.75">
      <c r="A15" s="55">
        <v>10</v>
      </c>
      <c r="B15" s="56" t="s">
        <v>14</v>
      </c>
      <c r="C15" s="6">
        <f>3327.05+951.4+7912.82</f>
        <v>12191.27</v>
      </c>
      <c r="D15" s="6">
        <f>7397.32+3368.51+16582.49</f>
        <v>27348.32</v>
      </c>
      <c r="E15" s="7">
        <f t="shared" si="0"/>
        <v>39539.59</v>
      </c>
      <c r="F15" s="36"/>
      <c r="G15" s="36"/>
    </row>
    <row r="16" spans="1:7" ht="15.75">
      <c r="A16" s="55">
        <v>11</v>
      </c>
      <c r="B16" s="56" t="s">
        <v>15</v>
      </c>
      <c r="C16" s="6">
        <v>12192.35</v>
      </c>
      <c r="D16" s="6">
        <v>22991.35</v>
      </c>
      <c r="E16" s="7">
        <f t="shared" si="0"/>
        <v>35183.7</v>
      </c>
      <c r="F16" s="36"/>
      <c r="G16" s="36"/>
    </row>
    <row r="17" spans="1:7" ht="15.75">
      <c r="A17" s="55">
        <v>12</v>
      </c>
      <c r="B17" s="56" t="s">
        <v>16</v>
      </c>
      <c r="C17" s="6">
        <v>1351.73</v>
      </c>
      <c r="D17" s="6">
        <v>5394.46</v>
      </c>
      <c r="E17" s="7">
        <f t="shared" si="0"/>
        <v>6746.1900000000005</v>
      </c>
      <c r="F17" s="36"/>
      <c r="G17" s="36"/>
    </row>
    <row r="18" spans="1:7" ht="15.75">
      <c r="A18" s="55">
        <v>13</v>
      </c>
      <c r="B18" s="56" t="s">
        <v>17</v>
      </c>
      <c r="C18" s="6">
        <v>5828.73</v>
      </c>
      <c r="D18" s="6">
        <v>21244.92</v>
      </c>
      <c r="E18" s="7">
        <f t="shared" si="0"/>
        <v>27073.649999999998</v>
      </c>
      <c r="F18" s="36"/>
      <c r="G18" s="36"/>
    </row>
    <row r="19" spans="1:7" ht="15.75">
      <c r="A19" s="55">
        <v>14</v>
      </c>
      <c r="B19" s="56" t="s">
        <v>18</v>
      </c>
      <c r="C19" s="6"/>
      <c r="D19" s="6"/>
      <c r="E19" s="7">
        <f t="shared" si="0"/>
        <v>0</v>
      </c>
      <c r="F19" s="36"/>
      <c r="G19" s="36"/>
    </row>
    <row r="20" spans="1:7" ht="15.75">
      <c r="A20" s="55">
        <v>15</v>
      </c>
      <c r="B20" s="56" t="s">
        <v>19</v>
      </c>
      <c r="C20" s="6"/>
      <c r="D20" s="6"/>
      <c r="E20" s="7">
        <f t="shared" si="0"/>
        <v>0</v>
      </c>
      <c r="F20" s="36"/>
      <c r="G20" s="36"/>
    </row>
    <row r="21" spans="1:7" ht="15.75">
      <c r="A21" s="55">
        <v>16</v>
      </c>
      <c r="B21" s="56" t="s">
        <v>20</v>
      </c>
      <c r="C21" s="6"/>
      <c r="D21" s="6"/>
      <c r="E21" s="7">
        <f t="shared" si="0"/>
        <v>0</v>
      </c>
      <c r="F21" s="36"/>
      <c r="G21" s="36"/>
    </row>
    <row r="22" spans="1:7" ht="15.75">
      <c r="A22" s="55">
        <v>17</v>
      </c>
      <c r="B22" s="56" t="s">
        <v>21</v>
      </c>
      <c r="C22" s="6">
        <v>5332.61</v>
      </c>
      <c r="D22" s="6">
        <v>14893.95</v>
      </c>
      <c r="E22" s="7">
        <f t="shared" si="0"/>
        <v>20226.56</v>
      </c>
      <c r="F22" s="36"/>
      <c r="G22" s="36"/>
    </row>
    <row r="23" spans="1:7" ht="15.75">
      <c r="A23" s="55">
        <v>18</v>
      </c>
      <c r="B23" s="56" t="s">
        <v>22</v>
      </c>
      <c r="C23" s="6">
        <f>2590.02+182.52+6023.56+329.91</f>
        <v>9126.01</v>
      </c>
      <c r="D23" s="6">
        <f>7307.15+493.83+11834.05+551.59</f>
        <v>20186.62</v>
      </c>
      <c r="E23" s="7">
        <f t="shared" si="0"/>
        <v>29312.629999999997</v>
      </c>
      <c r="F23" s="36"/>
      <c r="G23" s="36"/>
    </row>
    <row r="24" spans="1:7" ht="15.75">
      <c r="A24" s="55">
        <v>19</v>
      </c>
      <c r="B24" s="56" t="s">
        <v>23</v>
      </c>
      <c r="C24" s="6">
        <v>121.68</v>
      </c>
      <c r="D24" s="6">
        <v>1036.84</v>
      </c>
      <c r="E24" s="7">
        <f t="shared" si="0"/>
        <v>1158.52</v>
      </c>
      <c r="F24" s="36"/>
      <c r="G24" s="36"/>
    </row>
    <row r="25" spans="1:7" ht="15.75">
      <c r="A25" s="55">
        <v>20</v>
      </c>
      <c r="B25" s="56" t="s">
        <v>24</v>
      </c>
      <c r="C25" s="6">
        <v>1385.09</v>
      </c>
      <c r="D25" s="6">
        <v>1209.85</v>
      </c>
      <c r="E25" s="7">
        <f t="shared" si="0"/>
        <v>2594.9399999999996</v>
      </c>
      <c r="F25" s="36"/>
      <c r="G25" s="36"/>
    </row>
    <row r="26" spans="1:7" ht="15.75">
      <c r="A26" s="55">
        <v>21</v>
      </c>
      <c r="B26" s="56" t="s">
        <v>25</v>
      </c>
      <c r="C26" s="6">
        <f>7728.18+5698.05+1386.06</f>
        <v>14812.289999999999</v>
      </c>
      <c r="D26" s="6">
        <f>15413.62+9236.22+5475.7</f>
        <v>30125.54</v>
      </c>
      <c r="E26" s="7">
        <f t="shared" si="0"/>
        <v>44937.83</v>
      </c>
      <c r="F26" s="36"/>
      <c r="G26" s="36"/>
    </row>
    <row r="27" spans="1:7" ht="15.75">
      <c r="A27" s="55">
        <v>22</v>
      </c>
      <c r="B27" s="56" t="s">
        <v>26</v>
      </c>
      <c r="C27" s="6">
        <v>6629.93</v>
      </c>
      <c r="D27" s="6">
        <v>13306.87</v>
      </c>
      <c r="E27" s="7">
        <f t="shared" si="0"/>
        <v>19936.800000000003</v>
      </c>
      <c r="F27" s="36"/>
      <c r="G27" s="36"/>
    </row>
    <row r="28" spans="1:7" ht="15.75">
      <c r="A28" s="55">
        <v>23</v>
      </c>
      <c r="B28" s="56" t="s">
        <v>27</v>
      </c>
      <c r="C28" s="6">
        <v>1302.11</v>
      </c>
      <c r="D28" s="6">
        <v>2642.94</v>
      </c>
      <c r="E28" s="7">
        <f t="shared" si="0"/>
        <v>3945.05</v>
      </c>
      <c r="F28" s="36"/>
      <c r="G28" s="36"/>
    </row>
    <row r="29" spans="1:7" ht="15.75">
      <c r="A29" s="55">
        <v>24</v>
      </c>
      <c r="B29" s="56" t="s">
        <v>28</v>
      </c>
      <c r="C29" s="6"/>
      <c r="D29" s="6"/>
      <c r="E29" s="7">
        <f t="shared" si="0"/>
        <v>0</v>
      </c>
      <c r="F29" s="36"/>
      <c r="G29" s="36"/>
    </row>
    <row r="30" spans="1:7" ht="15.75">
      <c r="A30" s="55">
        <v>25</v>
      </c>
      <c r="B30" s="56" t="s">
        <v>29</v>
      </c>
      <c r="C30" s="6">
        <f>3557.83+10813.01+1690.49</f>
        <v>16061.33</v>
      </c>
      <c r="D30" s="6">
        <f>4859.06+14000.63+2267.13</f>
        <v>21126.82</v>
      </c>
      <c r="E30" s="7">
        <f t="shared" si="0"/>
        <v>37188.15</v>
      </c>
      <c r="F30" s="36"/>
      <c r="G30" s="36"/>
    </row>
    <row r="31" spans="1:7" ht="15.75">
      <c r="A31" s="55">
        <v>26</v>
      </c>
      <c r="B31" s="56" t="s">
        <v>30</v>
      </c>
      <c r="C31" s="6"/>
      <c r="D31" s="6"/>
      <c r="E31" s="7">
        <f t="shared" si="0"/>
        <v>0</v>
      </c>
      <c r="F31" s="36"/>
      <c r="G31" s="36"/>
    </row>
    <row r="32" spans="1:7" ht="15.75">
      <c r="A32" s="55">
        <v>27</v>
      </c>
      <c r="B32" s="56" t="s">
        <v>40</v>
      </c>
      <c r="C32" s="6">
        <v>294.87</v>
      </c>
      <c r="D32" s="6">
        <v>769.49</v>
      </c>
      <c r="E32" s="7">
        <f t="shared" si="0"/>
        <v>1064.3600000000001</v>
      </c>
      <c r="F32" s="36"/>
      <c r="G32" s="36"/>
    </row>
    <row r="33" spans="1:7" ht="15.75">
      <c r="A33" s="55">
        <v>28</v>
      </c>
      <c r="B33" s="56" t="s">
        <v>41</v>
      </c>
      <c r="C33" s="6">
        <f>4499.05+235.98+486.91+218.16</f>
        <v>5440.099999999999</v>
      </c>
      <c r="D33" s="6">
        <f>11133.48+274.03+2491.31+1531.63</f>
        <v>15430.45</v>
      </c>
      <c r="E33" s="7">
        <f t="shared" si="0"/>
        <v>20870.55</v>
      </c>
      <c r="F33" s="36"/>
      <c r="G33" s="36"/>
    </row>
    <row r="34" spans="1:7" ht="15.75">
      <c r="A34" s="55">
        <v>29</v>
      </c>
      <c r="B34" s="56" t="s">
        <v>42</v>
      </c>
      <c r="C34" s="6">
        <v>1564.1</v>
      </c>
      <c r="D34" s="6">
        <v>8189.12</v>
      </c>
      <c r="E34" s="7">
        <f t="shared" si="0"/>
        <v>9753.22</v>
      </c>
      <c r="F34" s="36"/>
      <c r="G34" s="36"/>
    </row>
    <row r="35" spans="1:7" ht="15.75">
      <c r="A35" s="55">
        <v>30</v>
      </c>
      <c r="B35" s="56" t="s">
        <v>44</v>
      </c>
      <c r="C35" s="6"/>
      <c r="D35" s="6"/>
      <c r="E35" s="7">
        <f t="shared" si="0"/>
        <v>0</v>
      </c>
      <c r="F35" s="36"/>
      <c r="G35" s="36"/>
    </row>
    <row r="36" spans="1:7" ht="15.75">
      <c r="A36" s="55">
        <v>31</v>
      </c>
      <c r="B36" s="56" t="s">
        <v>45</v>
      </c>
      <c r="C36" s="6"/>
      <c r="D36" s="6"/>
      <c r="E36" s="7">
        <f t="shared" si="0"/>
        <v>0</v>
      </c>
      <c r="F36" s="36"/>
      <c r="G36" s="36"/>
    </row>
    <row r="37" spans="1:7" ht="15.75">
      <c r="A37" s="55">
        <v>32</v>
      </c>
      <c r="B37" s="56" t="s">
        <v>47</v>
      </c>
      <c r="C37" s="6"/>
      <c r="D37" s="6"/>
      <c r="E37" s="7">
        <f t="shared" si="0"/>
        <v>0</v>
      </c>
      <c r="F37" s="36"/>
      <c r="G37" s="36"/>
    </row>
    <row r="38" spans="1:7" ht="15.75">
      <c r="A38" s="55">
        <v>33</v>
      </c>
      <c r="B38" s="56" t="s">
        <v>60</v>
      </c>
      <c r="C38" s="6"/>
      <c r="D38" s="6"/>
      <c r="E38" s="7">
        <f t="shared" si="0"/>
        <v>0</v>
      </c>
      <c r="F38" s="36"/>
      <c r="G38" s="36"/>
    </row>
    <row r="39" spans="1:7" ht="15.75">
      <c r="A39" s="55">
        <v>34</v>
      </c>
      <c r="B39" s="56" t="s">
        <v>61</v>
      </c>
      <c r="C39" s="6">
        <v>1438.05</v>
      </c>
      <c r="D39" s="6">
        <v>2338.43</v>
      </c>
      <c r="E39" s="7">
        <f t="shared" si="0"/>
        <v>3776.4799999999996</v>
      </c>
      <c r="F39" s="36"/>
      <c r="G39" s="36"/>
    </row>
    <row r="40" spans="1:7" ht="15.75">
      <c r="A40" s="57"/>
      <c r="B40" s="57" t="s">
        <v>31</v>
      </c>
      <c r="C40" s="6">
        <f>SUM(C6:C39)</f>
        <v>230084.88999999998</v>
      </c>
      <c r="D40" s="6">
        <f>SUM(D6:D39)</f>
        <v>516688.49</v>
      </c>
      <c r="E40" s="7">
        <f t="shared" si="0"/>
        <v>746773.38</v>
      </c>
      <c r="F40" s="36"/>
      <c r="G40" s="36"/>
    </row>
    <row r="41" spans="1:7" ht="14.25">
      <c r="A41" s="36"/>
      <c r="B41" s="36"/>
      <c r="C41" s="36"/>
      <c r="D41" s="36"/>
      <c r="E41" s="1"/>
      <c r="F41" s="36"/>
      <c r="G41" s="36"/>
    </row>
    <row r="42" spans="1:7" ht="14.25">
      <c r="A42" s="36"/>
      <c r="B42" s="36"/>
      <c r="C42" s="36"/>
      <c r="D42" s="36"/>
      <c r="E42" s="36"/>
      <c r="F42" s="36"/>
      <c r="G42" s="36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40"/>
  <sheetViews>
    <sheetView workbookViewId="0" topLeftCell="A1">
      <selection activeCell="J6" sqref="J6:J8"/>
    </sheetView>
  </sheetViews>
  <sheetFormatPr defaultColWidth="9.140625" defaultRowHeight="12.75"/>
  <cols>
    <col min="2" max="2" width="32.140625" style="0" customWidth="1"/>
    <col min="3" max="3" width="14.421875" style="0" customWidth="1"/>
    <col min="4" max="4" width="8.140625" style="0" bestFit="1" customWidth="1"/>
    <col min="5" max="5" width="9.140625" style="0" hidden="1" customWidth="1"/>
  </cols>
  <sheetData>
    <row r="3" spans="1:6" ht="15">
      <c r="A3" s="73" t="s">
        <v>77</v>
      </c>
      <c r="B3" s="73"/>
      <c r="C3" s="73"/>
      <c r="D3" s="73"/>
      <c r="E3" s="73"/>
      <c r="F3" s="73"/>
    </row>
    <row r="4" spans="1:6" ht="15">
      <c r="A4" s="76"/>
      <c r="B4" s="76"/>
      <c r="C4" s="76"/>
      <c r="D4" s="76"/>
      <c r="E4" s="76"/>
      <c r="F4" s="36"/>
    </row>
    <row r="5" spans="1:6" ht="31.5">
      <c r="A5" s="50" t="s">
        <v>0</v>
      </c>
      <c r="B5" s="51" t="s">
        <v>1</v>
      </c>
      <c r="C5" s="51" t="s">
        <v>63</v>
      </c>
      <c r="D5" s="51" t="s">
        <v>64</v>
      </c>
      <c r="E5" s="36"/>
      <c r="F5" s="36"/>
    </row>
    <row r="6" spans="1:8" ht="15.75">
      <c r="A6" s="55">
        <v>1</v>
      </c>
      <c r="B6" s="56" t="s">
        <v>6</v>
      </c>
      <c r="C6" s="67">
        <v>15480</v>
      </c>
      <c r="D6" s="67">
        <v>1200</v>
      </c>
      <c r="H6" s="3"/>
    </row>
    <row r="7" spans="1:4" ht="15.75">
      <c r="A7" s="55">
        <v>2</v>
      </c>
      <c r="B7" s="56" t="s">
        <v>7</v>
      </c>
      <c r="C7" s="67">
        <v>2520</v>
      </c>
      <c r="D7" s="67"/>
    </row>
    <row r="8" spans="1:4" ht="15.75">
      <c r="A8" s="55">
        <v>3</v>
      </c>
      <c r="B8" s="56" t="s">
        <v>8</v>
      </c>
      <c r="C8" s="67">
        <v>120</v>
      </c>
      <c r="D8" s="67"/>
    </row>
    <row r="9" spans="1:4" ht="15.75">
      <c r="A9" s="55">
        <v>4</v>
      </c>
      <c r="B9" s="56" t="s">
        <v>9</v>
      </c>
      <c r="C9" s="67">
        <v>840</v>
      </c>
      <c r="D9" s="67">
        <v>480</v>
      </c>
    </row>
    <row r="10" spans="1:4" ht="15.75">
      <c r="A10" s="55">
        <v>5</v>
      </c>
      <c r="B10" s="56" t="s">
        <v>10</v>
      </c>
      <c r="C10" s="67">
        <v>3960</v>
      </c>
      <c r="D10" s="67"/>
    </row>
    <row r="11" spans="1:4" ht="15.75">
      <c r="A11" s="55">
        <v>6</v>
      </c>
      <c r="B11" s="56" t="s">
        <v>11</v>
      </c>
      <c r="C11" s="67">
        <v>12120</v>
      </c>
      <c r="D11" s="67"/>
    </row>
    <row r="12" spans="1:4" ht="15.75">
      <c r="A12" s="55">
        <v>7</v>
      </c>
      <c r="B12" s="56" t="s">
        <v>59</v>
      </c>
      <c r="C12" s="67">
        <v>4920</v>
      </c>
      <c r="D12" s="67"/>
    </row>
    <row r="13" spans="1:4" ht="15.75">
      <c r="A13" s="55">
        <v>8</v>
      </c>
      <c r="B13" s="56" t="s">
        <v>12</v>
      </c>
      <c r="C13" s="67">
        <v>15600</v>
      </c>
      <c r="D13" s="67">
        <v>3120</v>
      </c>
    </row>
    <row r="14" spans="1:4" ht="15.75">
      <c r="A14" s="55">
        <v>9</v>
      </c>
      <c r="B14" s="56" t="s">
        <v>13</v>
      </c>
      <c r="C14" s="67">
        <v>8040</v>
      </c>
      <c r="D14" s="67">
        <v>480</v>
      </c>
    </row>
    <row r="15" spans="1:4" ht="15.75">
      <c r="A15" s="55">
        <v>10</v>
      </c>
      <c r="B15" s="56" t="s">
        <v>14</v>
      </c>
      <c r="C15" s="67">
        <v>7656</v>
      </c>
      <c r="D15" s="67">
        <v>480</v>
      </c>
    </row>
    <row r="16" spans="1:4" ht="15.75">
      <c r="A16" s="55">
        <v>11</v>
      </c>
      <c r="B16" s="56" t="s">
        <v>15</v>
      </c>
      <c r="C16" s="67">
        <v>5280</v>
      </c>
      <c r="D16" s="67"/>
    </row>
    <row r="17" spans="1:4" ht="15.75">
      <c r="A17" s="55">
        <v>12</v>
      </c>
      <c r="B17" s="56" t="s">
        <v>16</v>
      </c>
      <c r="C17" s="67">
        <v>1260</v>
      </c>
      <c r="D17" s="67"/>
    </row>
    <row r="18" spans="1:4" ht="15.75">
      <c r="A18" s="55">
        <v>13</v>
      </c>
      <c r="B18" s="56" t="s">
        <v>17</v>
      </c>
      <c r="C18" s="67">
        <v>5520</v>
      </c>
      <c r="D18" s="67"/>
    </row>
    <row r="19" spans="1:4" ht="15.75">
      <c r="A19" s="55">
        <v>14</v>
      </c>
      <c r="B19" s="56" t="s">
        <v>18</v>
      </c>
      <c r="C19" s="67"/>
      <c r="D19" s="67"/>
    </row>
    <row r="20" spans="1:4" ht="15.75">
      <c r="A20" s="55">
        <v>15</v>
      </c>
      <c r="B20" s="56" t="s">
        <v>19</v>
      </c>
      <c r="C20" s="67"/>
      <c r="D20" s="67"/>
    </row>
    <row r="21" spans="1:4" ht="15.75">
      <c r="A21" s="55">
        <v>16</v>
      </c>
      <c r="B21" s="56" t="s">
        <v>20</v>
      </c>
      <c r="C21" s="67"/>
      <c r="D21" s="67"/>
    </row>
    <row r="22" spans="1:4" ht="15.75">
      <c r="A22" s="55">
        <v>17</v>
      </c>
      <c r="B22" s="56" t="s">
        <v>21</v>
      </c>
      <c r="C22" s="67">
        <v>4080</v>
      </c>
      <c r="D22" s="67"/>
    </row>
    <row r="23" spans="1:4" ht="15.75">
      <c r="A23" s="55">
        <v>18</v>
      </c>
      <c r="B23" s="56" t="s">
        <v>22</v>
      </c>
      <c r="C23" s="67">
        <v>4800</v>
      </c>
      <c r="D23" s="67">
        <v>960</v>
      </c>
    </row>
    <row r="24" spans="1:4" ht="15.75">
      <c r="A24" s="55">
        <v>19</v>
      </c>
      <c r="B24" s="56" t="s">
        <v>23</v>
      </c>
      <c r="C24" s="67">
        <v>600</v>
      </c>
      <c r="D24" s="67"/>
    </row>
    <row r="25" spans="1:4" ht="15.75">
      <c r="A25" s="55">
        <v>20</v>
      </c>
      <c r="B25" s="56" t="s">
        <v>24</v>
      </c>
      <c r="C25" s="67">
        <v>120</v>
      </c>
      <c r="D25" s="67"/>
    </row>
    <row r="26" spans="1:4" ht="15.75">
      <c r="A26" s="55">
        <v>21</v>
      </c>
      <c r="B26" s="56" t="s">
        <v>25</v>
      </c>
      <c r="C26" s="67">
        <v>6000</v>
      </c>
      <c r="D26" s="67"/>
    </row>
    <row r="27" spans="1:4" ht="15.75">
      <c r="A27" s="55">
        <v>22</v>
      </c>
      <c r="B27" s="56" t="s">
        <v>26</v>
      </c>
      <c r="C27" s="67">
        <v>2880</v>
      </c>
      <c r="D27" s="67">
        <v>600</v>
      </c>
    </row>
    <row r="28" spans="1:4" ht="15.75">
      <c r="A28" s="55">
        <v>23</v>
      </c>
      <c r="B28" s="56" t="s">
        <v>27</v>
      </c>
      <c r="C28" s="67">
        <v>600</v>
      </c>
      <c r="D28" s="67"/>
    </row>
    <row r="29" spans="1:4" ht="15.75">
      <c r="A29" s="55">
        <v>24</v>
      </c>
      <c r="B29" s="56" t="s">
        <v>28</v>
      </c>
      <c r="C29" s="67"/>
      <c r="D29" s="67"/>
    </row>
    <row r="30" spans="1:4" ht="15.75">
      <c r="A30" s="55">
        <v>25</v>
      </c>
      <c r="B30" s="56" t="s">
        <v>29</v>
      </c>
      <c r="C30" s="67">
        <v>6168</v>
      </c>
      <c r="D30" s="67"/>
    </row>
    <row r="31" spans="1:4" ht="15.75">
      <c r="A31" s="55">
        <v>26</v>
      </c>
      <c r="B31" s="56" t="s">
        <v>30</v>
      </c>
      <c r="C31" s="67"/>
      <c r="D31" s="67"/>
    </row>
    <row r="32" spans="1:4" ht="15.75">
      <c r="A32" s="55">
        <v>27</v>
      </c>
      <c r="B32" s="56" t="s">
        <v>40</v>
      </c>
      <c r="C32" s="67">
        <v>120</v>
      </c>
      <c r="D32" s="67"/>
    </row>
    <row r="33" spans="1:4" ht="15.75">
      <c r="A33" s="55">
        <v>28</v>
      </c>
      <c r="B33" s="56" t="s">
        <v>41</v>
      </c>
      <c r="C33" s="67">
        <v>4440</v>
      </c>
      <c r="D33" s="67"/>
    </row>
    <row r="34" spans="1:4" ht="15.75">
      <c r="A34" s="55">
        <v>29</v>
      </c>
      <c r="B34" s="56" t="s">
        <v>42</v>
      </c>
      <c r="C34" s="67">
        <v>2640</v>
      </c>
      <c r="D34" s="67"/>
    </row>
    <row r="35" spans="1:4" ht="15.75">
      <c r="A35" s="55">
        <v>30</v>
      </c>
      <c r="B35" s="56" t="s">
        <v>44</v>
      </c>
      <c r="C35" s="67"/>
      <c r="D35" s="67"/>
    </row>
    <row r="36" spans="1:4" ht="15.75">
      <c r="A36" s="55">
        <v>31</v>
      </c>
      <c r="B36" s="56" t="s">
        <v>45</v>
      </c>
      <c r="C36" s="67"/>
      <c r="D36" s="67"/>
    </row>
    <row r="37" spans="1:4" ht="15.75">
      <c r="A37" s="55">
        <v>32</v>
      </c>
      <c r="B37" s="56" t="s">
        <v>47</v>
      </c>
      <c r="C37" s="67"/>
      <c r="D37" s="67"/>
    </row>
    <row r="38" spans="1:4" ht="15.75">
      <c r="A38" s="55">
        <v>33</v>
      </c>
      <c r="B38" s="56" t="s">
        <v>60</v>
      </c>
      <c r="C38" s="67"/>
      <c r="D38" s="67"/>
    </row>
    <row r="39" spans="1:4" ht="15.75">
      <c r="A39" s="55">
        <v>34</v>
      </c>
      <c r="B39" s="56" t="s">
        <v>61</v>
      </c>
      <c r="C39" s="67">
        <v>600</v>
      </c>
      <c r="D39" s="67"/>
    </row>
    <row r="40" spans="1:4" ht="15.75">
      <c r="A40" s="57"/>
      <c r="B40" s="57" t="s">
        <v>31</v>
      </c>
      <c r="C40" s="68">
        <f>SUM(C6:C39)</f>
        <v>116364</v>
      </c>
      <c r="D40" s="68">
        <f>SUM(D6:D39)</f>
        <v>7320</v>
      </c>
    </row>
  </sheetData>
  <mergeCells count="2">
    <mergeCell ref="A4:E4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40"/>
  <sheetViews>
    <sheetView workbookViewId="0" topLeftCell="A1">
      <selection activeCell="G24" sqref="G23:G24"/>
    </sheetView>
  </sheetViews>
  <sheetFormatPr defaultColWidth="9.140625" defaultRowHeight="12.75"/>
  <cols>
    <col min="2" max="2" width="36.8515625" style="0" bestFit="1" customWidth="1"/>
    <col min="3" max="3" width="16.8515625" style="0" customWidth="1"/>
    <col min="9" max="9" width="16.57421875" style="0" customWidth="1"/>
  </cols>
  <sheetData>
    <row r="2" spans="1:5" ht="12.75">
      <c r="A2" s="60"/>
      <c r="B2" s="60"/>
      <c r="C2" s="60"/>
      <c r="D2" s="60"/>
      <c r="E2" s="60"/>
    </row>
    <row r="3" spans="1:5" ht="15">
      <c r="A3" s="61" t="s">
        <v>78</v>
      </c>
      <c r="B3" s="61"/>
      <c r="C3" s="61"/>
      <c r="D3" s="61"/>
      <c r="E3" s="61"/>
    </row>
    <row r="4" spans="1:5" ht="14.25">
      <c r="A4" s="36"/>
      <c r="B4" s="36"/>
      <c r="C4" s="36"/>
      <c r="D4" s="36"/>
      <c r="E4" s="36"/>
    </row>
    <row r="5" spans="1:5" ht="47.25">
      <c r="A5" s="50" t="s">
        <v>0</v>
      </c>
      <c r="B5" s="51" t="s">
        <v>1</v>
      </c>
      <c r="C5" s="51" t="s">
        <v>66</v>
      </c>
      <c r="D5" s="36"/>
      <c r="E5" s="36"/>
    </row>
    <row r="6" spans="1:3" ht="15.75">
      <c r="A6" s="55">
        <v>1</v>
      </c>
      <c r="B6" s="56" t="s">
        <v>6</v>
      </c>
      <c r="C6" s="67">
        <v>21672.18</v>
      </c>
    </row>
    <row r="7" spans="1:3" ht="15.75">
      <c r="A7" s="55">
        <v>2</v>
      </c>
      <c r="B7" s="56" t="s">
        <v>7</v>
      </c>
      <c r="C7" s="67"/>
    </row>
    <row r="8" spans="1:3" ht="15.75">
      <c r="A8" s="55">
        <v>3</v>
      </c>
      <c r="B8" s="56" t="s">
        <v>8</v>
      </c>
      <c r="C8" s="67"/>
    </row>
    <row r="9" spans="1:3" ht="15.75">
      <c r="A9" s="55">
        <v>4</v>
      </c>
      <c r="B9" s="56" t="s">
        <v>9</v>
      </c>
      <c r="C9" s="67"/>
    </row>
    <row r="10" spans="1:3" ht="15.75">
      <c r="A10" s="55">
        <v>5</v>
      </c>
      <c r="B10" s="56" t="s">
        <v>10</v>
      </c>
      <c r="C10" s="67"/>
    </row>
    <row r="11" spans="1:3" ht="15.75">
      <c r="A11" s="55">
        <v>6</v>
      </c>
      <c r="B11" s="56" t="s">
        <v>11</v>
      </c>
      <c r="C11" s="67"/>
    </row>
    <row r="12" spans="1:3" ht="15.75">
      <c r="A12" s="55">
        <v>7</v>
      </c>
      <c r="B12" s="56" t="s">
        <v>59</v>
      </c>
      <c r="C12" s="67">
        <v>65461.96</v>
      </c>
    </row>
    <row r="13" spans="1:3" ht="15.75">
      <c r="A13" s="55">
        <v>8</v>
      </c>
      <c r="B13" s="56" t="s">
        <v>12</v>
      </c>
      <c r="C13" s="67">
        <v>49845.6</v>
      </c>
    </row>
    <row r="14" spans="1:3" ht="15.75">
      <c r="A14" s="55">
        <v>9</v>
      </c>
      <c r="B14" s="56" t="s">
        <v>13</v>
      </c>
      <c r="C14" s="67">
        <v>26852.66</v>
      </c>
    </row>
    <row r="15" spans="1:3" ht="15.75">
      <c r="A15" s="55">
        <v>10</v>
      </c>
      <c r="B15" s="56" t="s">
        <v>14</v>
      </c>
      <c r="C15" s="67"/>
    </row>
    <row r="16" spans="1:3" ht="15.75">
      <c r="A16" s="55">
        <v>11</v>
      </c>
      <c r="B16" s="56" t="s">
        <v>15</v>
      </c>
      <c r="C16" s="67"/>
    </row>
    <row r="17" spans="1:3" ht="15.75">
      <c r="A17" s="55">
        <v>12</v>
      </c>
      <c r="B17" s="56" t="s">
        <v>16</v>
      </c>
      <c r="C17" s="67"/>
    </row>
    <row r="18" spans="1:3" ht="15.75">
      <c r="A18" s="55">
        <v>13</v>
      </c>
      <c r="B18" s="56" t="s">
        <v>17</v>
      </c>
      <c r="C18" s="67"/>
    </row>
    <row r="19" spans="1:3" ht="15.75">
      <c r="A19" s="55">
        <v>14</v>
      </c>
      <c r="B19" s="56" t="s">
        <v>18</v>
      </c>
      <c r="C19" s="67"/>
    </row>
    <row r="20" spans="1:3" ht="15.75">
      <c r="A20" s="55">
        <v>15</v>
      </c>
      <c r="B20" s="56" t="s">
        <v>19</v>
      </c>
      <c r="C20" s="67"/>
    </row>
    <row r="21" spans="1:3" ht="15.75">
      <c r="A21" s="55">
        <v>16</v>
      </c>
      <c r="B21" s="56" t="s">
        <v>20</v>
      </c>
      <c r="C21" s="67"/>
    </row>
    <row r="22" spans="1:3" ht="15.75">
      <c r="A22" s="55">
        <v>17</v>
      </c>
      <c r="B22" s="56" t="s">
        <v>21</v>
      </c>
      <c r="C22" s="67"/>
    </row>
    <row r="23" spans="1:3" ht="15.75">
      <c r="A23" s="55">
        <v>18</v>
      </c>
      <c r="B23" s="56" t="s">
        <v>22</v>
      </c>
      <c r="C23" s="67">
        <v>26852.66</v>
      </c>
    </row>
    <row r="24" spans="1:3" ht="15.75">
      <c r="A24" s="55">
        <v>19</v>
      </c>
      <c r="B24" s="56" t="s">
        <v>23</v>
      </c>
      <c r="C24" s="67"/>
    </row>
    <row r="25" spans="1:3" ht="15.75">
      <c r="A25" s="55">
        <v>20</v>
      </c>
      <c r="B25" s="56" t="s">
        <v>24</v>
      </c>
      <c r="C25" s="67"/>
    </row>
    <row r="26" spans="1:3" ht="15.75">
      <c r="A26" s="55">
        <v>21</v>
      </c>
      <c r="B26" s="56" t="s">
        <v>25</v>
      </c>
      <c r="C26" s="67"/>
    </row>
    <row r="27" spans="1:3" ht="15.75">
      <c r="A27" s="55">
        <v>22</v>
      </c>
      <c r="B27" s="56" t="s">
        <v>26</v>
      </c>
      <c r="C27" s="67">
        <v>28279.57</v>
      </c>
    </row>
    <row r="28" spans="1:3" ht="15.75">
      <c r="A28" s="55">
        <v>23</v>
      </c>
      <c r="B28" s="56" t="s">
        <v>27</v>
      </c>
      <c r="C28" s="67"/>
    </row>
    <row r="29" spans="1:3" ht="15.75">
      <c r="A29" s="55">
        <v>24</v>
      </c>
      <c r="B29" s="56" t="s">
        <v>28</v>
      </c>
      <c r="C29" s="67"/>
    </row>
    <row r="30" spans="1:3" ht="15.75">
      <c r="A30" s="55">
        <v>25</v>
      </c>
      <c r="B30" s="56" t="s">
        <v>29</v>
      </c>
      <c r="C30" s="67"/>
    </row>
    <row r="31" spans="1:3" ht="15.75">
      <c r="A31" s="55">
        <v>26</v>
      </c>
      <c r="B31" s="56" t="s">
        <v>30</v>
      </c>
      <c r="C31" s="67"/>
    </row>
    <row r="32" spans="1:3" ht="15.75">
      <c r="A32" s="55">
        <v>27</v>
      </c>
      <c r="B32" s="56" t="s">
        <v>40</v>
      </c>
      <c r="C32" s="67"/>
    </row>
    <row r="33" spans="1:3" ht="15.75">
      <c r="A33" s="55">
        <v>28</v>
      </c>
      <c r="B33" s="56" t="s">
        <v>41</v>
      </c>
      <c r="C33" s="67">
        <v>13426.33</v>
      </c>
    </row>
    <row r="34" spans="1:3" ht="15.75">
      <c r="A34" s="55">
        <v>29</v>
      </c>
      <c r="B34" s="56" t="s">
        <v>42</v>
      </c>
      <c r="C34" s="67"/>
    </row>
    <row r="35" spans="1:3" ht="15.75">
      <c r="A35" s="55">
        <v>30</v>
      </c>
      <c r="B35" s="56" t="s">
        <v>44</v>
      </c>
      <c r="C35" s="67"/>
    </row>
    <row r="36" spans="1:3" ht="15.75">
      <c r="A36" s="55">
        <v>31</v>
      </c>
      <c r="B36" s="56" t="s">
        <v>45</v>
      </c>
      <c r="C36" s="67"/>
    </row>
    <row r="37" spans="1:3" ht="15.75">
      <c r="A37" s="55">
        <v>32</v>
      </c>
      <c r="B37" s="56" t="s">
        <v>47</v>
      </c>
      <c r="C37" s="67"/>
    </row>
    <row r="38" spans="1:3" ht="15.75">
      <c r="A38" s="55">
        <v>33</v>
      </c>
      <c r="B38" s="56" t="s">
        <v>60</v>
      </c>
      <c r="C38" s="67"/>
    </row>
    <row r="39" spans="1:3" ht="15.75">
      <c r="A39" s="55">
        <v>34</v>
      </c>
      <c r="B39" s="56" t="s">
        <v>61</v>
      </c>
      <c r="C39" s="67"/>
    </row>
    <row r="40" spans="1:3" ht="15.75">
      <c r="A40" s="57"/>
      <c r="B40" s="57" t="s">
        <v>31</v>
      </c>
      <c r="C40" s="68">
        <f>SUM(C6:C39)</f>
        <v>232390.96</v>
      </c>
    </row>
  </sheetData>
  <printOptions/>
  <pageMargins left="0.75" right="0.75" top="1" bottom="1" header="0.5" footer="0.5"/>
  <pageSetup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E40"/>
  <sheetViews>
    <sheetView workbookViewId="0" topLeftCell="A1">
      <selection activeCell="D40" sqref="D40"/>
    </sheetView>
  </sheetViews>
  <sheetFormatPr defaultColWidth="9.140625" defaultRowHeight="12.75"/>
  <cols>
    <col min="2" max="2" width="28.8515625" style="0" customWidth="1"/>
    <col min="3" max="3" width="16.28125" style="0" customWidth="1"/>
    <col min="5" max="5" width="29.00390625" style="0" customWidth="1"/>
  </cols>
  <sheetData>
    <row r="3" spans="1:5" ht="15">
      <c r="A3" s="77" t="s">
        <v>79</v>
      </c>
      <c r="B3" s="77"/>
      <c r="C3" s="77"/>
      <c r="D3" s="77"/>
      <c r="E3" s="77"/>
    </row>
    <row r="4" spans="1:5" ht="14.25">
      <c r="A4" s="36"/>
      <c r="B4" s="36"/>
      <c r="C4" s="38"/>
      <c r="D4" s="1"/>
      <c r="E4" s="1"/>
    </row>
    <row r="5" spans="1:5" ht="15.75">
      <c r="A5" s="50" t="s">
        <v>0</v>
      </c>
      <c r="B5" s="51" t="s">
        <v>1</v>
      </c>
      <c r="C5" s="51" t="s">
        <v>69</v>
      </c>
      <c r="D5" s="36"/>
      <c r="E5" s="36"/>
    </row>
    <row r="6" spans="1:5" ht="15.75">
      <c r="A6" s="55">
        <v>1</v>
      </c>
      <c r="B6" s="56" t="s">
        <v>6</v>
      </c>
      <c r="C6" s="6">
        <v>138671.65</v>
      </c>
      <c r="D6" s="36"/>
      <c r="E6" s="36"/>
    </row>
    <row r="7" spans="1:5" ht="15.75">
      <c r="A7" s="55">
        <v>2</v>
      </c>
      <c r="B7" s="56" t="s">
        <v>7</v>
      </c>
      <c r="C7" s="6"/>
      <c r="D7" s="36"/>
      <c r="E7" s="36"/>
    </row>
    <row r="8" spans="1:3" ht="15.75">
      <c r="A8" s="55">
        <v>3</v>
      </c>
      <c r="B8" s="56" t="s">
        <v>8</v>
      </c>
      <c r="C8" s="67">
        <v>134.88</v>
      </c>
    </row>
    <row r="9" spans="1:3" ht="15.75">
      <c r="A9" s="55">
        <v>4</v>
      </c>
      <c r="B9" s="56" t="s">
        <v>9</v>
      </c>
      <c r="C9" s="67">
        <v>603.74</v>
      </c>
    </row>
    <row r="10" spans="1:3" ht="15.75">
      <c r="A10" s="55">
        <v>5</v>
      </c>
      <c r="B10" s="56" t="s">
        <v>10</v>
      </c>
      <c r="C10" s="67">
        <v>754.9</v>
      </c>
    </row>
    <row r="11" spans="1:3" ht="15.75">
      <c r="A11" s="55">
        <v>6</v>
      </c>
      <c r="B11" s="56" t="s">
        <v>11</v>
      </c>
      <c r="C11" s="67">
        <v>1028.96</v>
      </c>
    </row>
    <row r="12" spans="1:3" ht="15.75">
      <c r="A12" s="55">
        <v>7</v>
      </c>
      <c r="B12" s="56" t="s">
        <v>59</v>
      </c>
      <c r="C12" s="67">
        <v>3514.72</v>
      </c>
    </row>
    <row r="13" spans="1:3" ht="15.75">
      <c r="A13" s="55">
        <v>8</v>
      </c>
      <c r="B13" s="56" t="s">
        <v>12</v>
      </c>
      <c r="C13" s="67">
        <v>141579.08</v>
      </c>
    </row>
    <row r="14" spans="1:3" ht="15.75">
      <c r="A14" s="55">
        <v>9</v>
      </c>
      <c r="B14" s="56" t="s">
        <v>13</v>
      </c>
      <c r="C14" s="67">
        <v>87.14</v>
      </c>
    </row>
    <row r="15" spans="1:3" ht="15.75">
      <c r="A15" s="55">
        <v>10</v>
      </c>
      <c r="B15" s="56" t="s">
        <v>14</v>
      </c>
      <c r="C15" s="67">
        <v>15847.49</v>
      </c>
    </row>
    <row r="16" spans="1:3" ht="15.75">
      <c r="A16" s="55">
        <v>11</v>
      </c>
      <c r="B16" s="56" t="s">
        <v>15</v>
      </c>
      <c r="C16" s="67">
        <v>551.33</v>
      </c>
    </row>
    <row r="17" spans="1:3" ht="15.75">
      <c r="A17" s="55">
        <v>12</v>
      </c>
      <c r="B17" s="56" t="s">
        <v>16</v>
      </c>
      <c r="C17" s="67"/>
    </row>
    <row r="18" spans="1:3" ht="15.75">
      <c r="A18" s="55">
        <v>13</v>
      </c>
      <c r="B18" s="56" t="s">
        <v>17</v>
      </c>
      <c r="C18" s="67">
        <v>134.88</v>
      </c>
    </row>
    <row r="19" spans="1:3" ht="15.75">
      <c r="A19" s="55">
        <v>14</v>
      </c>
      <c r="B19" s="56" t="s">
        <v>18</v>
      </c>
      <c r="C19" s="67"/>
    </row>
    <row r="20" spans="1:3" ht="15.75">
      <c r="A20" s="55">
        <v>15</v>
      </c>
      <c r="B20" s="56" t="s">
        <v>19</v>
      </c>
      <c r="C20" s="67"/>
    </row>
    <row r="21" spans="1:3" ht="15.75">
      <c r="A21" s="55">
        <v>16</v>
      </c>
      <c r="B21" s="56" t="s">
        <v>20</v>
      </c>
      <c r="C21" s="67"/>
    </row>
    <row r="22" spans="1:3" ht="15.75">
      <c r="A22" s="55">
        <v>17</v>
      </c>
      <c r="B22" s="56" t="s">
        <v>21</v>
      </c>
      <c r="C22" s="67">
        <v>312.12</v>
      </c>
    </row>
    <row r="23" spans="1:3" ht="15.75">
      <c r="A23" s="55">
        <v>18</v>
      </c>
      <c r="B23" s="56" t="s">
        <v>22</v>
      </c>
      <c r="C23" s="67">
        <v>4995.38</v>
      </c>
    </row>
    <row r="24" spans="1:3" ht="15.75">
      <c r="A24" s="55">
        <v>19</v>
      </c>
      <c r="B24" s="56" t="s">
        <v>23</v>
      </c>
      <c r="C24" s="67"/>
    </row>
    <row r="25" spans="1:3" ht="15.75">
      <c r="A25" s="55">
        <v>20</v>
      </c>
      <c r="B25" s="56" t="s">
        <v>24</v>
      </c>
      <c r="C25" s="67">
        <v>134.88</v>
      </c>
    </row>
    <row r="26" spans="1:3" ht="15.75">
      <c r="A26" s="55">
        <v>21</v>
      </c>
      <c r="B26" s="56" t="s">
        <v>25</v>
      </c>
      <c r="C26" s="67">
        <v>214277.95</v>
      </c>
    </row>
    <row r="27" spans="1:3" ht="15.75">
      <c r="A27" s="55">
        <v>22</v>
      </c>
      <c r="B27" s="56" t="s">
        <v>26</v>
      </c>
      <c r="C27" s="67">
        <v>585.01</v>
      </c>
    </row>
    <row r="28" spans="1:3" ht="15.75">
      <c r="A28" s="55">
        <v>23</v>
      </c>
      <c r="B28" s="56" t="s">
        <v>27</v>
      </c>
      <c r="C28" s="67">
        <v>34.5</v>
      </c>
    </row>
    <row r="29" spans="1:3" ht="15.75">
      <c r="A29" s="55">
        <v>24</v>
      </c>
      <c r="B29" s="56" t="s">
        <v>28</v>
      </c>
      <c r="C29" s="67"/>
    </row>
    <row r="30" spans="1:3" ht="15.75">
      <c r="A30" s="55">
        <v>25</v>
      </c>
      <c r="B30" s="56" t="s">
        <v>29</v>
      </c>
      <c r="C30" s="67">
        <v>14796.4</v>
      </c>
    </row>
    <row r="31" spans="1:3" ht="15.75">
      <c r="A31" s="55">
        <v>26</v>
      </c>
      <c r="B31" s="56" t="s">
        <v>30</v>
      </c>
      <c r="C31" s="67">
        <v>14324.24</v>
      </c>
    </row>
    <row r="32" spans="1:3" ht="15.75">
      <c r="A32" s="55">
        <v>27</v>
      </c>
      <c r="B32" s="56" t="s">
        <v>40</v>
      </c>
      <c r="C32" s="67"/>
    </row>
    <row r="33" spans="1:3" ht="15.75">
      <c r="A33" s="55">
        <v>28</v>
      </c>
      <c r="B33" s="56" t="s">
        <v>41</v>
      </c>
      <c r="C33" s="67">
        <v>134.88</v>
      </c>
    </row>
    <row r="34" spans="1:3" ht="15.75">
      <c r="A34" s="55">
        <v>29</v>
      </c>
      <c r="B34" s="56" t="s">
        <v>42</v>
      </c>
      <c r="C34" s="67"/>
    </row>
    <row r="35" spans="1:3" ht="15.75">
      <c r="A35" s="55">
        <v>30</v>
      </c>
      <c r="B35" s="56" t="s">
        <v>44</v>
      </c>
      <c r="C35" s="67"/>
    </row>
    <row r="36" spans="1:3" ht="15.75">
      <c r="A36" s="55">
        <v>31</v>
      </c>
      <c r="B36" s="56" t="s">
        <v>45</v>
      </c>
      <c r="C36" s="67"/>
    </row>
    <row r="37" spans="1:3" ht="15.75">
      <c r="A37" s="55">
        <v>32</v>
      </c>
      <c r="B37" s="56" t="s">
        <v>47</v>
      </c>
      <c r="C37" s="67">
        <v>58.09</v>
      </c>
    </row>
    <row r="38" spans="1:3" ht="15.75">
      <c r="A38" s="55">
        <v>33</v>
      </c>
      <c r="B38" s="56" t="s">
        <v>60</v>
      </c>
      <c r="C38" s="67"/>
    </row>
    <row r="39" spans="1:3" ht="15.75">
      <c r="A39" s="55">
        <v>34</v>
      </c>
      <c r="B39" s="56" t="s">
        <v>61</v>
      </c>
      <c r="C39" s="67"/>
    </row>
    <row r="40" spans="1:3" ht="15.75">
      <c r="A40" s="57"/>
      <c r="B40" s="57" t="s">
        <v>31</v>
      </c>
      <c r="C40" s="68">
        <f>SUM(C6:C39)</f>
        <v>552562.22</v>
      </c>
    </row>
  </sheetData>
  <mergeCells count="1">
    <mergeCell ref="A3:E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G40"/>
  <sheetViews>
    <sheetView workbookViewId="0" topLeftCell="A1">
      <selection activeCell="C31" sqref="C31"/>
    </sheetView>
  </sheetViews>
  <sheetFormatPr defaultColWidth="9.140625" defaultRowHeight="12.75"/>
  <cols>
    <col min="2" max="2" width="33.7109375" style="0" customWidth="1"/>
    <col min="3" max="3" width="15.28125" style="0" customWidth="1"/>
  </cols>
  <sheetData>
    <row r="3" spans="1:7" ht="15">
      <c r="A3" s="73" t="s">
        <v>80</v>
      </c>
      <c r="B3" s="73"/>
      <c r="C3" s="73"/>
      <c r="D3" s="73"/>
      <c r="E3" s="73"/>
      <c r="F3" s="73"/>
      <c r="G3" s="73"/>
    </row>
    <row r="4" spans="1:7" ht="14.25">
      <c r="A4" s="75"/>
      <c r="B4" s="75"/>
      <c r="C4" s="75"/>
      <c r="D4" s="36"/>
      <c r="E4" s="36"/>
      <c r="F4" s="36"/>
      <c r="G4" s="36"/>
    </row>
    <row r="5" spans="1:7" ht="15.75">
      <c r="A5" s="50" t="s">
        <v>0</v>
      </c>
      <c r="B5" s="51" t="s">
        <v>1</v>
      </c>
      <c r="C5" s="50" t="s">
        <v>62</v>
      </c>
      <c r="D5" s="36"/>
      <c r="E5" s="36"/>
      <c r="F5" s="36"/>
      <c r="G5" s="36"/>
    </row>
    <row r="6" spans="1:7" ht="15.75">
      <c r="A6" s="55">
        <v>1</v>
      </c>
      <c r="B6" s="56" t="s">
        <v>6</v>
      </c>
      <c r="C6" s="6"/>
      <c r="D6" s="36"/>
      <c r="E6" s="36"/>
      <c r="F6" s="36"/>
      <c r="G6" s="36"/>
    </row>
    <row r="7" spans="1:7" ht="15.75">
      <c r="A7" s="55">
        <v>2</v>
      </c>
      <c r="B7" s="56" t="s">
        <v>7</v>
      </c>
      <c r="C7" s="6"/>
      <c r="D7" s="36"/>
      <c r="E7" s="36"/>
      <c r="F7" s="36"/>
      <c r="G7" s="36"/>
    </row>
    <row r="8" spans="1:3" ht="15.75">
      <c r="A8" s="55">
        <v>3</v>
      </c>
      <c r="B8" s="56" t="s">
        <v>8</v>
      </c>
      <c r="C8" s="67"/>
    </row>
    <row r="9" spans="1:3" ht="15.75">
      <c r="A9" s="55">
        <v>4</v>
      </c>
      <c r="B9" s="56" t="s">
        <v>9</v>
      </c>
      <c r="C9" s="67"/>
    </row>
    <row r="10" spans="1:3" ht="15.75">
      <c r="A10" s="55">
        <v>5</v>
      </c>
      <c r="B10" s="56" t="s">
        <v>10</v>
      </c>
      <c r="C10" s="67"/>
    </row>
    <row r="11" spans="1:3" ht="15.75">
      <c r="A11" s="55">
        <v>6</v>
      </c>
      <c r="B11" s="56" t="s">
        <v>11</v>
      </c>
      <c r="C11" s="67"/>
    </row>
    <row r="12" spans="1:3" ht="15.75">
      <c r="A12" s="55">
        <v>7</v>
      </c>
      <c r="B12" s="56" t="s">
        <v>59</v>
      </c>
      <c r="C12" s="67"/>
    </row>
    <row r="13" spans="1:3" ht="15.75">
      <c r="A13" s="55">
        <v>8</v>
      </c>
      <c r="B13" s="56" t="s">
        <v>12</v>
      </c>
      <c r="C13" s="67">
        <v>43574.13</v>
      </c>
    </row>
    <row r="14" spans="1:3" ht="15.75">
      <c r="A14" s="55">
        <v>9</v>
      </c>
      <c r="B14" s="56" t="s">
        <v>13</v>
      </c>
      <c r="C14" s="67"/>
    </row>
    <row r="15" spans="1:3" ht="15.75">
      <c r="A15" s="55">
        <v>10</v>
      </c>
      <c r="B15" s="56" t="s">
        <v>14</v>
      </c>
      <c r="C15" s="67"/>
    </row>
    <row r="16" spans="1:3" ht="15.75">
      <c r="A16" s="55">
        <v>11</v>
      </c>
      <c r="B16" s="56" t="s">
        <v>15</v>
      </c>
      <c r="C16" s="67"/>
    </row>
    <row r="17" spans="1:3" ht="15.75">
      <c r="A17" s="55">
        <v>12</v>
      </c>
      <c r="B17" s="56" t="s">
        <v>16</v>
      </c>
      <c r="C17" s="67"/>
    </row>
    <row r="18" spans="1:3" ht="15.75">
      <c r="A18" s="55">
        <v>13</v>
      </c>
      <c r="B18" s="56" t="s">
        <v>17</v>
      </c>
      <c r="C18" s="67"/>
    </row>
    <row r="19" spans="1:3" ht="15.75">
      <c r="A19" s="55">
        <v>14</v>
      </c>
      <c r="B19" s="56" t="s">
        <v>18</v>
      </c>
      <c r="C19" s="67"/>
    </row>
    <row r="20" spans="1:3" ht="15.75">
      <c r="A20" s="55">
        <v>15</v>
      </c>
      <c r="B20" s="56" t="s">
        <v>19</v>
      </c>
      <c r="C20" s="67"/>
    </row>
    <row r="21" spans="1:3" ht="15.75">
      <c r="A21" s="55">
        <v>16</v>
      </c>
      <c r="B21" s="56" t="s">
        <v>20</v>
      </c>
      <c r="C21" s="67"/>
    </row>
    <row r="22" spans="1:3" ht="15.75">
      <c r="A22" s="55">
        <v>17</v>
      </c>
      <c r="B22" s="56" t="s">
        <v>21</v>
      </c>
      <c r="C22" s="67"/>
    </row>
    <row r="23" spans="1:3" ht="15.75">
      <c r="A23" s="55">
        <v>18</v>
      </c>
      <c r="B23" s="56" t="s">
        <v>22</v>
      </c>
      <c r="C23" s="67"/>
    </row>
    <row r="24" spans="1:3" ht="15.75">
      <c r="A24" s="55">
        <v>19</v>
      </c>
      <c r="B24" s="56" t="s">
        <v>23</v>
      </c>
      <c r="C24" s="67"/>
    </row>
    <row r="25" spans="1:3" ht="15.75">
      <c r="A25" s="55">
        <v>20</v>
      </c>
      <c r="B25" s="56" t="s">
        <v>24</v>
      </c>
      <c r="C25" s="67"/>
    </row>
    <row r="26" spans="1:3" ht="15.75">
      <c r="A26" s="55">
        <v>21</v>
      </c>
      <c r="B26" s="56" t="s">
        <v>25</v>
      </c>
      <c r="C26" s="67"/>
    </row>
    <row r="27" spans="1:3" ht="15.75">
      <c r="A27" s="55">
        <v>22</v>
      </c>
      <c r="B27" s="56" t="s">
        <v>26</v>
      </c>
      <c r="C27" s="67"/>
    </row>
    <row r="28" spans="1:3" ht="15.75">
      <c r="A28" s="55">
        <v>23</v>
      </c>
      <c r="B28" s="56" t="s">
        <v>27</v>
      </c>
      <c r="C28" s="67"/>
    </row>
    <row r="29" spans="1:3" ht="15.75">
      <c r="A29" s="55">
        <v>24</v>
      </c>
      <c r="B29" s="56" t="s">
        <v>28</v>
      </c>
      <c r="C29" s="67"/>
    </row>
    <row r="30" spans="1:3" ht="15.75">
      <c r="A30" s="55">
        <v>25</v>
      </c>
      <c r="B30" s="56" t="s">
        <v>29</v>
      </c>
      <c r="C30" s="67">
        <v>2571.67</v>
      </c>
    </row>
    <row r="31" spans="1:3" ht="15.75">
      <c r="A31" s="55">
        <v>26</v>
      </c>
      <c r="B31" s="56" t="s">
        <v>30</v>
      </c>
      <c r="C31" s="67"/>
    </row>
    <row r="32" spans="1:3" ht="15.75">
      <c r="A32" s="55">
        <v>27</v>
      </c>
      <c r="B32" s="56" t="s">
        <v>40</v>
      </c>
      <c r="C32" s="67"/>
    </row>
    <row r="33" spans="1:3" ht="15.75">
      <c r="A33" s="55">
        <v>28</v>
      </c>
      <c r="B33" s="56" t="s">
        <v>41</v>
      </c>
      <c r="C33" s="67"/>
    </row>
    <row r="34" spans="1:3" ht="15.75">
      <c r="A34" s="55">
        <v>29</v>
      </c>
      <c r="B34" s="56" t="s">
        <v>42</v>
      </c>
      <c r="C34" s="67"/>
    </row>
    <row r="35" spans="1:3" ht="15.75">
      <c r="A35" s="55">
        <v>30</v>
      </c>
      <c r="B35" s="56" t="s">
        <v>44</v>
      </c>
      <c r="C35" s="67"/>
    </row>
    <row r="36" spans="1:3" ht="15.75">
      <c r="A36" s="55">
        <v>31</v>
      </c>
      <c r="B36" s="56" t="s">
        <v>45</v>
      </c>
      <c r="C36" s="67"/>
    </row>
    <row r="37" spans="1:3" ht="15.75">
      <c r="A37" s="55">
        <v>32</v>
      </c>
      <c r="B37" s="56" t="s">
        <v>47</v>
      </c>
      <c r="C37" s="67"/>
    </row>
    <row r="38" spans="1:3" ht="15.75">
      <c r="A38" s="55">
        <v>33</v>
      </c>
      <c r="B38" s="56" t="s">
        <v>60</v>
      </c>
      <c r="C38" s="67"/>
    </row>
    <row r="39" spans="1:3" ht="15.75">
      <c r="A39" s="55">
        <v>34</v>
      </c>
      <c r="B39" s="56" t="s">
        <v>61</v>
      </c>
      <c r="C39" s="67"/>
    </row>
    <row r="40" spans="1:3" ht="15.75">
      <c r="A40" s="57"/>
      <c r="B40" s="57" t="s">
        <v>31</v>
      </c>
      <c r="C40" s="67">
        <f>SUM(C6:C39)</f>
        <v>46145.799999999996</v>
      </c>
    </row>
  </sheetData>
  <mergeCells count="2">
    <mergeCell ref="A3:G3"/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HP_03</cp:lastModifiedBy>
  <cp:lastPrinted>2020-04-22T07:32:19Z</cp:lastPrinted>
  <dcterms:created xsi:type="dcterms:W3CDTF">2011-06-30T06:54:46Z</dcterms:created>
  <dcterms:modified xsi:type="dcterms:W3CDTF">2021-02-22T07:33:50Z</dcterms:modified>
  <cp:category/>
  <cp:version/>
  <cp:contentType/>
  <cp:contentStatus/>
</cp:coreProperties>
</file>